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1\SoS Chomutov\"/>
    </mc:Choice>
  </mc:AlternateContent>
  <bookViews>
    <workbookView xWindow="0" yWindow="0" windowWidth="21570" windowHeight="7755"/>
  </bookViews>
  <sheets>
    <sheet name="NR 2021" sheetId="3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3" l="1"/>
  <c r="S53" i="3"/>
  <c r="S52" i="3"/>
  <c r="R51" i="3"/>
  <c r="S51" i="3" s="1"/>
  <c r="Q51" i="3"/>
  <c r="P51" i="3"/>
  <c r="T39" i="3"/>
  <c r="R38" i="3"/>
  <c r="Q38" i="3"/>
  <c r="P38" i="3"/>
  <c r="S38" i="3" s="1"/>
  <c r="U38" i="3" s="1"/>
  <c r="R37" i="3"/>
  <c r="P37" i="3"/>
  <c r="P36" i="3"/>
  <c r="S36" i="3" s="1"/>
  <c r="U36" i="3" s="1"/>
  <c r="R35" i="3"/>
  <c r="Q35" i="3"/>
  <c r="P35" i="3"/>
  <c r="P39" i="3" s="1"/>
  <c r="Q34" i="3"/>
  <c r="S34" i="3" s="1"/>
  <c r="U34" i="3" s="1"/>
  <c r="Q33" i="3"/>
  <c r="P33" i="3"/>
  <c r="Q32" i="3"/>
  <c r="P32" i="3"/>
  <c r="S32" i="3" s="1"/>
  <c r="U32" i="3" s="1"/>
  <c r="R31" i="3"/>
  <c r="Q31" i="3"/>
  <c r="P31" i="3"/>
  <c r="R30" i="3"/>
  <c r="Q30" i="3"/>
  <c r="P30" i="3"/>
  <c r="R29" i="3"/>
  <c r="Q29" i="3"/>
  <c r="S29" i="3" s="1"/>
  <c r="U29" i="3" s="1"/>
  <c r="P29" i="3"/>
  <c r="R28" i="3"/>
  <c r="P28" i="3"/>
  <c r="S28" i="3" s="1"/>
  <c r="U28" i="3" s="1"/>
  <c r="T24" i="3"/>
  <c r="T40" i="3" s="1"/>
  <c r="R24" i="3"/>
  <c r="Q24" i="3"/>
  <c r="P24" i="3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S15" i="3"/>
  <c r="U15" i="3" s="1"/>
  <c r="R39" i="3" l="1"/>
  <c r="R40" i="3" s="1"/>
  <c r="P40" i="3"/>
  <c r="S30" i="3"/>
  <c r="U30" i="3" s="1"/>
  <c r="S31" i="3"/>
  <c r="U31" i="3" s="1"/>
  <c r="S33" i="3"/>
  <c r="U33" i="3" s="1"/>
  <c r="S35" i="3"/>
  <c r="U35" i="3" s="1"/>
  <c r="U39" i="3" s="1"/>
  <c r="S37" i="3"/>
  <c r="U37" i="3" s="1"/>
  <c r="U24" i="3"/>
  <c r="Q39" i="3"/>
  <c r="S39" i="3" s="1"/>
  <c r="S24" i="3"/>
  <c r="Q40" i="3" l="1"/>
  <c r="U40" i="3"/>
  <c r="U41" i="3" s="1"/>
  <c r="S40" i="3"/>
  <c r="M54" i="3" l="1"/>
  <c r="M53" i="3"/>
  <c r="M52" i="3"/>
  <c r="M51" i="3"/>
  <c r="M50" i="3"/>
  <c r="N39" i="3"/>
  <c r="L39" i="3"/>
  <c r="K39" i="3"/>
  <c r="J39" i="3"/>
  <c r="M38" i="3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N24" i="3"/>
  <c r="L24" i="3"/>
  <c r="L40" i="3" s="1"/>
  <c r="K24" i="3"/>
  <c r="K40" i="3" s="1"/>
  <c r="J24" i="3"/>
  <c r="M23" i="3"/>
  <c r="M22" i="3"/>
  <c r="M21" i="3"/>
  <c r="M20" i="3"/>
  <c r="M19" i="3"/>
  <c r="M18" i="3"/>
  <c r="M17" i="3"/>
  <c r="M16" i="3"/>
  <c r="M15" i="3"/>
  <c r="O17" i="3" l="1"/>
  <c r="O21" i="3"/>
  <c r="O18" i="3"/>
  <c r="O22" i="3"/>
  <c r="O15" i="3"/>
  <c r="O19" i="3"/>
  <c r="O23" i="3"/>
  <c r="N40" i="3"/>
  <c r="M39" i="3"/>
  <c r="M40" i="3" s="1"/>
  <c r="O16" i="3"/>
  <c r="O20" i="3"/>
  <c r="M24" i="3"/>
  <c r="O39" i="3"/>
  <c r="J40" i="3"/>
  <c r="O24" i="3" l="1"/>
  <c r="O40" i="3" s="1"/>
  <c r="O41" i="3" s="1"/>
  <c r="G54" i="3"/>
  <c r="G53" i="3"/>
  <c r="G52" i="3"/>
  <c r="F51" i="3"/>
  <c r="E51" i="3"/>
  <c r="G51" i="3" s="1"/>
  <c r="H39" i="3"/>
  <c r="F38" i="3"/>
  <c r="D38" i="3"/>
  <c r="F37" i="3"/>
  <c r="D37" i="3"/>
  <c r="G37" i="3" s="1"/>
  <c r="I37" i="3" s="1"/>
  <c r="I36" i="3"/>
  <c r="G36" i="3"/>
  <c r="F35" i="3"/>
  <c r="E35" i="3"/>
  <c r="G35" i="3" s="1"/>
  <c r="I35" i="3" s="1"/>
  <c r="G34" i="3"/>
  <c r="I34" i="3" s="1"/>
  <c r="G33" i="3"/>
  <c r="I33" i="3" s="1"/>
  <c r="F32" i="3"/>
  <c r="E32" i="3"/>
  <c r="D32" i="3"/>
  <c r="F31" i="3"/>
  <c r="D31" i="3"/>
  <c r="G31" i="3" s="1"/>
  <c r="I31" i="3" s="1"/>
  <c r="F30" i="3"/>
  <c r="D30" i="3"/>
  <c r="G30" i="3" s="1"/>
  <c r="I30" i="3" s="1"/>
  <c r="F29" i="3"/>
  <c r="G29" i="3" s="1"/>
  <c r="I29" i="3" s="1"/>
  <c r="D29" i="3"/>
  <c r="F28" i="3"/>
  <c r="D28" i="3"/>
  <c r="G28" i="3" s="1"/>
  <c r="I28" i="3" s="1"/>
  <c r="H24" i="3"/>
  <c r="H40" i="3" s="1"/>
  <c r="F24" i="3"/>
  <c r="E24" i="3"/>
  <c r="D24" i="3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D39" i="3" l="1"/>
  <c r="F39" i="3"/>
  <c r="F40" i="3" s="1"/>
  <c r="E39" i="3"/>
  <c r="E40" i="3" s="1"/>
  <c r="G32" i="3"/>
  <c r="I32" i="3" s="1"/>
  <c r="G38" i="3"/>
  <c r="I38" i="3" s="1"/>
  <c r="I39" i="3"/>
  <c r="I24" i="3"/>
  <c r="G24" i="3"/>
  <c r="G39" i="3" l="1"/>
  <c r="I40" i="3"/>
  <c r="I41" i="3" s="1"/>
  <c r="G40" i="3"/>
  <c r="D40" i="3"/>
  <c r="Z24" i="3" l="1"/>
  <c r="X24" i="3"/>
  <c r="W24" i="3"/>
  <c r="V24" i="3"/>
  <c r="Y24" i="3" l="1"/>
  <c r="Y54" i="3"/>
  <c r="Y53" i="3"/>
  <c r="Y52" i="3"/>
  <c r="Y51" i="3"/>
  <c r="Y50" i="3"/>
  <c r="S50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AA18" i="3" l="1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AA24" i="3" l="1"/>
  <c r="AA39" i="3"/>
  <c r="Y40" i="3"/>
  <c r="AA40" i="3" l="1"/>
  <c r="AA41" i="3" s="1"/>
  <c r="G50" i="3" l="1"/>
  <c r="AB34" i="3" l="1"/>
  <c r="AB23" i="3"/>
  <c r="AB22" i="3"/>
  <c r="AB21" i="3"/>
  <c r="AB20" i="3"/>
  <c r="AB19" i="3"/>
  <c r="AB18" i="3"/>
  <c r="AB17" i="3"/>
  <c r="AB16" i="3"/>
  <c r="AB38" i="3" l="1"/>
  <c r="AB35" i="3"/>
  <c r="AB28" i="3"/>
  <c r="AB32" i="3"/>
  <c r="AB29" i="3"/>
  <c r="AB33" i="3"/>
  <c r="AB37" i="3"/>
  <c r="AB31" i="3"/>
  <c r="AB15" i="3"/>
  <c r="AB24" i="3"/>
  <c r="AB36" i="3"/>
  <c r="AB30" i="3" l="1"/>
  <c r="AB39" i="3" l="1"/>
  <c r="AB40" i="3" l="1"/>
  <c r="AB41" i="3" l="1"/>
</calcChain>
</file>

<file path=xl/sharedStrings.xml><?xml version="1.0" encoding="utf-8"?>
<sst xmlns="http://schemas.openxmlformats.org/spreadsheetml/2006/main" count="199" uniqueCount="110">
  <si>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</si>
  <si>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</si>
  <si>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</si>
  <si>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</si>
  <si>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</si>
  <si>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</si>
  <si>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</si>
  <si>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</si>
  <si>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</si>
  <si>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</si>
  <si>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</si>
  <si>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</si>
  <si>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</si>
  <si>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</si>
  <si>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</si>
  <si>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</si>
  <si>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</si>
  <si>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</si>
  <si>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</si>
  <si>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</si>
  <si>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</si>
  <si>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</si>
  <si>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</si>
  <si>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</si>
  <si>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</si>
  <si>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</si>
  <si>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</si>
  <si>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</si>
  <si>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</si>
  <si>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</si>
  <si>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</si>
  <si>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</si>
  <si>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</si>
  <si>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</si>
  <si>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</si>
  <si>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</si>
  <si>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</si>
  <si>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</si>
  <si>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</si>
  <si>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</si>
  <si>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</si>
  <si>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</si>
  <si>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</si>
  <si>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</si>
  <si>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</si>
  <si>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</si>
  <si>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</si>
  <si>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</si>
  <si>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</si>
  <si>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</si>
  <si>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</si>
  <si>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</si>
  <si>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</si>
  <si>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</si>
  <si>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</si>
  <si>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</si>
  <si>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</si>
  <si>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</si>
  <si>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</si>
  <si>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</si>
  <si>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</si>
  <si>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</si>
  <si>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</si>
  <si>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</si>
  <si>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</si>
  <si>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</si>
  <si>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</si>
  <si>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</si>
  <si>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</si>
  <si>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</si>
  <si>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</si>
  <si>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</si>
  <si>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</si>
  <si>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</si>
  <si>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</si>
  <si>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</si>
  <si>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</si>
  <si>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</si>
  <si>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</si>
  <si>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</si>
  <si>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</si>
  <si>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</si>
  <si>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</si>
  <si>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</si>
  <si>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</si>
  <si>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</si>
  <si>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</si>
  <si>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</si>
  <si>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</si>
  <si>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</si>
  <si>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</si>
  <si>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</si>
  <si>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</si>
  <si>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</si>
  <si>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</si>
  <si>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</si>
  <si>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</si>
  <si>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</si>
  <si>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</si>
  <si>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Návrh rozpočtu 2021</t>
  </si>
  <si>
    <t>Skutečnost k 31.12.2019</t>
  </si>
  <si>
    <t>Skutečnost k 30.6.2020</t>
  </si>
  <si>
    <t>Plán 2021(návrh rozpočtu organizace)</t>
  </si>
  <si>
    <t>Porovnání s rokem 2020</t>
  </si>
  <si>
    <t>Plán 2020 (návrh rozpočtu organizace)</t>
  </si>
  <si>
    <t>viz příloha</t>
  </si>
  <si>
    <t>Sociální služby Chomutov, příspěvková organizace</t>
  </si>
  <si>
    <t>Písečná 5030, 430 04 Chomutov</t>
  </si>
  <si>
    <t>Mgr. Alena Tölgová, ředitelka</t>
  </si>
  <si>
    <t>Ing. Ivana Vomáčková, finanční manažerka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</si>
</sst>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2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Normal="100" zoomScaleSheetLayoutView="80" workbookViewId="0">
      <pane xSplit="3" topLeftCell="D1" activePane="topRight" state="frozen"/>
      <selection pane="topRight" activeCell="C92" sqref="C9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2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99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197" t="s">
        <v>106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86">
        <v>46789944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198" t="s">
        <v>107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09" t="s">
        <v>37</v>
      </c>
      <c r="C10" s="202" t="s">
        <v>38</v>
      </c>
      <c r="D10" s="183" t="s">
        <v>100</v>
      </c>
      <c r="E10" s="184"/>
      <c r="F10" s="184"/>
      <c r="G10" s="184"/>
      <c r="H10" s="184"/>
      <c r="I10" s="185"/>
      <c r="J10" s="183" t="s">
        <v>104</v>
      </c>
      <c r="K10" s="184"/>
      <c r="L10" s="184"/>
      <c r="M10" s="184"/>
      <c r="N10" s="184"/>
      <c r="O10" s="185"/>
      <c r="P10" s="183" t="s">
        <v>101</v>
      </c>
      <c r="Q10" s="184"/>
      <c r="R10" s="184"/>
      <c r="S10" s="184"/>
      <c r="T10" s="184"/>
      <c r="U10" s="185"/>
      <c r="V10" s="183" t="s">
        <v>102</v>
      </c>
      <c r="W10" s="184"/>
      <c r="X10" s="184"/>
      <c r="Y10" s="184"/>
      <c r="Z10" s="184"/>
      <c r="AA10" s="185"/>
      <c r="AB10" s="166" t="s">
        <v>103</v>
      </c>
      <c r="AC10" s="4"/>
      <c r="AD10" s="4"/>
    </row>
    <row r="11" spans="1:30" ht="30.75" customHeight="1" thickBot="1" x14ac:dyDescent="0.3">
      <c r="A11" s="5"/>
      <c r="B11" s="210"/>
      <c r="C11" s="203"/>
      <c r="D11" s="169" t="s">
        <v>39</v>
      </c>
      <c r="E11" s="170"/>
      <c r="F11" s="170"/>
      <c r="G11" s="171"/>
      <c r="H11" s="9" t="s">
        <v>40</v>
      </c>
      <c r="I11" s="9" t="s">
        <v>61</v>
      </c>
      <c r="J11" s="169" t="s">
        <v>39</v>
      </c>
      <c r="K11" s="170"/>
      <c r="L11" s="170"/>
      <c r="M11" s="171"/>
      <c r="N11" s="9" t="s">
        <v>40</v>
      </c>
      <c r="O11" s="9" t="s">
        <v>61</v>
      </c>
      <c r="P11" s="169" t="s">
        <v>39</v>
      </c>
      <c r="Q11" s="170"/>
      <c r="R11" s="170"/>
      <c r="S11" s="171"/>
      <c r="T11" s="9" t="s">
        <v>40</v>
      </c>
      <c r="U11" s="9" t="s">
        <v>61</v>
      </c>
      <c r="V11" s="169" t="s">
        <v>39</v>
      </c>
      <c r="W11" s="170"/>
      <c r="X11" s="170"/>
      <c r="Y11" s="171"/>
      <c r="Z11" s="9" t="s">
        <v>40</v>
      </c>
      <c r="AA11" s="9" t="s">
        <v>61</v>
      </c>
      <c r="AB11" s="167"/>
      <c r="AC11" s="4"/>
      <c r="AD11" s="4"/>
    </row>
    <row r="12" spans="1:30" ht="15.75" customHeight="1" thickBot="1" x14ac:dyDescent="0.3">
      <c r="A12" s="5"/>
      <c r="B12" s="210"/>
      <c r="C12" s="204"/>
      <c r="D12" s="172" t="s">
        <v>62</v>
      </c>
      <c r="E12" s="173"/>
      <c r="F12" s="173"/>
      <c r="G12" s="173"/>
      <c r="H12" s="173"/>
      <c r="I12" s="174"/>
      <c r="J12" s="172" t="s">
        <v>62</v>
      </c>
      <c r="K12" s="173"/>
      <c r="L12" s="173"/>
      <c r="M12" s="173"/>
      <c r="N12" s="173"/>
      <c r="O12" s="174"/>
      <c r="P12" s="172" t="s">
        <v>62</v>
      </c>
      <c r="Q12" s="173"/>
      <c r="R12" s="173"/>
      <c r="S12" s="173"/>
      <c r="T12" s="173"/>
      <c r="U12" s="174"/>
      <c r="V12" s="172" t="s">
        <v>62</v>
      </c>
      <c r="W12" s="173"/>
      <c r="X12" s="173"/>
      <c r="Y12" s="173"/>
      <c r="Z12" s="173"/>
      <c r="AA12" s="174"/>
      <c r="AB12" s="167"/>
      <c r="AC12" s="4"/>
      <c r="AD12" s="4"/>
    </row>
    <row r="13" spans="1:30" ht="15.75" customHeight="1" thickBot="1" x14ac:dyDescent="0.3">
      <c r="A13" s="5"/>
      <c r="B13" s="211"/>
      <c r="C13" s="205"/>
      <c r="D13" s="175" t="s">
        <v>57</v>
      </c>
      <c r="E13" s="176"/>
      <c r="F13" s="176"/>
      <c r="G13" s="190" t="s">
        <v>63</v>
      </c>
      <c r="H13" s="192" t="s">
        <v>66</v>
      </c>
      <c r="I13" s="177" t="s">
        <v>62</v>
      </c>
      <c r="J13" s="175" t="s">
        <v>57</v>
      </c>
      <c r="K13" s="176"/>
      <c r="L13" s="176"/>
      <c r="M13" s="190" t="s">
        <v>63</v>
      </c>
      <c r="N13" s="192" t="s">
        <v>66</v>
      </c>
      <c r="O13" s="177" t="s">
        <v>62</v>
      </c>
      <c r="P13" s="175" t="s">
        <v>57</v>
      </c>
      <c r="Q13" s="176"/>
      <c r="R13" s="176"/>
      <c r="S13" s="190" t="s">
        <v>63</v>
      </c>
      <c r="T13" s="192" t="s">
        <v>66</v>
      </c>
      <c r="U13" s="177" t="s">
        <v>62</v>
      </c>
      <c r="V13" s="175" t="s">
        <v>57</v>
      </c>
      <c r="W13" s="176"/>
      <c r="X13" s="176"/>
      <c r="Y13" s="190" t="s">
        <v>63</v>
      </c>
      <c r="Z13" s="192" t="s">
        <v>66</v>
      </c>
      <c r="AA13" s="177" t="s">
        <v>62</v>
      </c>
      <c r="AB13" s="167"/>
      <c r="AC13" s="4"/>
      <c r="AD13" s="4"/>
    </row>
    <row r="14" spans="1:30" ht="15.75" thickBot="1" x14ac:dyDescent="0.3">
      <c r="A14" s="5"/>
      <c r="B14" s="10"/>
      <c r="C14" s="11"/>
      <c r="D14" s="140" t="s">
        <v>58</v>
      </c>
      <c r="E14" s="141" t="s">
        <v>90</v>
      </c>
      <c r="F14" s="141" t="s">
        <v>59</v>
      </c>
      <c r="G14" s="191"/>
      <c r="H14" s="193"/>
      <c r="I14" s="178"/>
      <c r="J14" s="140" t="s">
        <v>58</v>
      </c>
      <c r="K14" s="141" t="s">
        <v>90</v>
      </c>
      <c r="L14" s="141" t="s">
        <v>59</v>
      </c>
      <c r="M14" s="191"/>
      <c r="N14" s="193"/>
      <c r="O14" s="178"/>
      <c r="P14" s="140" t="s">
        <v>58</v>
      </c>
      <c r="Q14" s="141" t="s">
        <v>90</v>
      </c>
      <c r="R14" s="141" t="s">
        <v>59</v>
      </c>
      <c r="S14" s="191"/>
      <c r="T14" s="193"/>
      <c r="U14" s="178"/>
      <c r="V14" s="140" t="s">
        <v>58</v>
      </c>
      <c r="W14" s="141" t="s">
        <v>90</v>
      </c>
      <c r="X14" s="141" t="s">
        <v>59</v>
      </c>
      <c r="Y14" s="191"/>
      <c r="Z14" s="193"/>
      <c r="AA14" s="178"/>
      <c r="AB14" s="168"/>
      <c r="AC14" s="4"/>
      <c r="AD14" s="4"/>
    </row>
    <row r="15" spans="1:30" x14ac:dyDescent="0.25">
      <c r="A15" s="5"/>
      <c r="B15" s="35" t="s">
        <v>0</v>
      </c>
      <c r="C15" s="125" t="s">
        <v>52</v>
      </c>
      <c r="D15" s="12"/>
      <c r="E15" s="13"/>
      <c r="F15" s="56">
        <v>51732.4</v>
      </c>
      <c r="G15" s="63">
        <f>SUM(D15:F15)</f>
        <v>51732.4</v>
      </c>
      <c r="H15" s="66">
        <v>164.4</v>
      </c>
      <c r="I15" s="14">
        <f>G15+H15</f>
        <v>51896.800000000003</v>
      </c>
      <c r="J15" s="12"/>
      <c r="K15" s="13"/>
      <c r="L15" s="56">
        <v>51975</v>
      </c>
      <c r="M15" s="63">
        <f>SUM(J15:L15)</f>
        <v>51975</v>
      </c>
      <c r="N15" s="66">
        <v>152</v>
      </c>
      <c r="O15" s="14">
        <f>M15+N15</f>
        <v>52127</v>
      </c>
      <c r="P15" s="12"/>
      <c r="Q15" s="13"/>
      <c r="R15" s="56">
        <v>27779.1</v>
      </c>
      <c r="S15" s="63">
        <f>SUM(P15:R15)</f>
        <v>27779.1</v>
      </c>
      <c r="T15" s="66">
        <v>11</v>
      </c>
      <c r="U15" s="14">
        <f>S15+T15</f>
        <v>27790.1</v>
      </c>
      <c r="V15" s="12"/>
      <c r="W15" s="13"/>
      <c r="X15" s="56">
        <v>55375</v>
      </c>
      <c r="Y15" s="63">
        <f>SUM(V15:X15)</f>
        <v>55375</v>
      </c>
      <c r="Z15" s="66">
        <v>0</v>
      </c>
      <c r="AA15" s="14">
        <f>Y15+Z15</f>
        <v>55375</v>
      </c>
      <c r="AB15" s="146">
        <f>(AA15/O15)</f>
        <v>1.0623093598327162</v>
      </c>
      <c r="AC15" s="4"/>
      <c r="AD15" s="4"/>
    </row>
    <row r="16" spans="1:30" x14ac:dyDescent="0.25">
      <c r="A16" s="5"/>
      <c r="B16" s="15" t="s">
        <v>1</v>
      </c>
      <c r="C16" s="126" t="s">
        <v>60</v>
      </c>
      <c r="D16" s="57">
        <v>23665.4</v>
      </c>
      <c r="E16" s="16"/>
      <c r="F16" s="16"/>
      <c r="G16" s="64">
        <f t="shared" ref="G16:G23" si="0">SUM(D16:F16)</f>
        <v>23665.4</v>
      </c>
      <c r="H16" s="67"/>
      <c r="I16" s="14">
        <f t="shared" ref="I16:I20" si="1">G16+H16</f>
        <v>23665.4</v>
      </c>
      <c r="J16" s="57">
        <v>26508.400000000001</v>
      </c>
      <c r="K16" s="16"/>
      <c r="L16" s="16"/>
      <c r="M16" s="64">
        <f t="shared" ref="M16:M23" si="2">SUM(J16:L16)</f>
        <v>26508.400000000001</v>
      </c>
      <c r="N16" s="67"/>
      <c r="O16" s="14">
        <f t="shared" ref="O16:O20" si="3">M16+N16</f>
        <v>26508.400000000001</v>
      </c>
      <c r="P16" s="57">
        <v>20127</v>
      </c>
      <c r="Q16" s="16"/>
      <c r="R16" s="16"/>
      <c r="S16" s="64">
        <f t="shared" ref="S16:S23" si="4">SUM(P16:R16)</f>
        <v>20127</v>
      </c>
      <c r="T16" s="67"/>
      <c r="U16" s="14">
        <f t="shared" ref="U16:U20" si="5">S16+T16</f>
        <v>20127</v>
      </c>
      <c r="V16" s="57">
        <v>21544</v>
      </c>
      <c r="W16" s="16"/>
      <c r="X16" s="16"/>
      <c r="Y16" s="64">
        <f t="shared" ref="Y16:Y23" si="6">SUM(V16:X16)</f>
        <v>21544</v>
      </c>
      <c r="Z16" s="67"/>
      <c r="AA16" s="14">
        <f t="shared" ref="AA16:AA20" si="7">Y16+Z16</f>
        <v>21544</v>
      </c>
      <c r="AB16" s="146">
        <f t="shared" ref="AB16:AB24" si="8">(AA16/O16)</f>
        <v>0.8127235140559218</v>
      </c>
      <c r="AC16" s="4"/>
      <c r="AD16" s="4"/>
    </row>
    <row r="17" spans="1:30" x14ac:dyDescent="0.25">
      <c r="A17" s="5"/>
      <c r="B17" s="15" t="s">
        <v>3</v>
      </c>
      <c r="C17" s="127" t="s">
        <v>79</v>
      </c>
      <c r="D17" s="58">
        <v>170</v>
      </c>
      <c r="E17" s="17"/>
      <c r="F17" s="17"/>
      <c r="G17" s="64">
        <f t="shared" si="0"/>
        <v>170</v>
      </c>
      <c r="H17" s="68"/>
      <c r="I17" s="14">
        <f t="shared" si="1"/>
        <v>170</v>
      </c>
      <c r="J17" s="58"/>
      <c r="K17" s="17"/>
      <c r="L17" s="17"/>
      <c r="M17" s="64">
        <f t="shared" si="2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6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28" t="s">
        <v>53</v>
      </c>
      <c r="D18" s="18"/>
      <c r="E18" s="59">
        <v>43271.7</v>
      </c>
      <c r="F18" s="17"/>
      <c r="G18" s="64">
        <f t="shared" si="0"/>
        <v>43271.7</v>
      </c>
      <c r="H18" s="66"/>
      <c r="I18" s="14">
        <f t="shared" si="1"/>
        <v>43271.7</v>
      </c>
      <c r="J18" s="18"/>
      <c r="K18" s="59">
        <v>45637.599999999999</v>
      </c>
      <c r="L18" s="17"/>
      <c r="M18" s="64">
        <f t="shared" si="2"/>
        <v>45637.599999999999</v>
      </c>
      <c r="N18" s="66"/>
      <c r="O18" s="14">
        <f t="shared" si="3"/>
        <v>45637.599999999999</v>
      </c>
      <c r="P18" s="18"/>
      <c r="Q18" s="59">
        <v>30315.8</v>
      </c>
      <c r="R18" s="17"/>
      <c r="S18" s="64">
        <f t="shared" si="4"/>
        <v>30315.8</v>
      </c>
      <c r="T18" s="66"/>
      <c r="U18" s="14">
        <f t="shared" si="5"/>
        <v>30315.8</v>
      </c>
      <c r="V18" s="18"/>
      <c r="W18" s="59">
        <v>48469</v>
      </c>
      <c r="X18" s="17"/>
      <c r="Y18" s="64">
        <f t="shared" si="6"/>
        <v>48469</v>
      </c>
      <c r="Z18" s="66"/>
      <c r="AA18" s="14">
        <f t="shared" si="7"/>
        <v>48469</v>
      </c>
      <c r="AB18" s="146">
        <f t="shared" si="8"/>
        <v>1.06204094869143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/>
      <c r="G19" s="64">
        <f t="shared" si="0"/>
        <v>0</v>
      </c>
      <c r="H19" s="69"/>
      <c r="I19" s="14">
        <f t="shared" si="1"/>
        <v>0</v>
      </c>
      <c r="J19" s="19"/>
      <c r="K19" s="17"/>
      <c r="L19" s="60"/>
      <c r="M19" s="64">
        <f t="shared" si="2"/>
        <v>0</v>
      </c>
      <c r="N19" s="69"/>
      <c r="O19" s="14">
        <f t="shared" si="3"/>
        <v>0</v>
      </c>
      <c r="P19" s="19"/>
      <c r="Q19" s="17"/>
      <c r="R19" s="60"/>
      <c r="S19" s="64">
        <f t="shared" si="4"/>
        <v>0</v>
      </c>
      <c r="T19" s="69"/>
      <c r="U19" s="14">
        <f t="shared" si="5"/>
        <v>0</v>
      </c>
      <c r="V19" s="19"/>
      <c r="W19" s="17"/>
      <c r="X19" s="60"/>
      <c r="Y19" s="64">
        <f t="shared" si="6"/>
        <v>0</v>
      </c>
      <c r="Z19" s="69"/>
      <c r="AA19" s="14">
        <f t="shared" si="7"/>
        <v>0</v>
      </c>
      <c r="AB19" s="146" t="e">
        <f t="shared" si="8"/>
        <v>#DIV/0!</v>
      </c>
      <c r="AC19" s="4"/>
      <c r="AD19" s="4"/>
    </row>
    <row r="20" spans="1:30" x14ac:dyDescent="0.25">
      <c r="A20" s="5"/>
      <c r="B20" s="15" t="s">
        <v>9</v>
      </c>
      <c r="C20" s="129" t="s">
        <v>47</v>
      </c>
      <c r="D20" s="18"/>
      <c r="E20" s="16"/>
      <c r="F20" s="61">
        <v>57.6</v>
      </c>
      <c r="G20" s="64">
        <f t="shared" si="0"/>
        <v>57.6</v>
      </c>
      <c r="H20" s="69"/>
      <c r="I20" s="14">
        <f t="shared" si="1"/>
        <v>57.6</v>
      </c>
      <c r="J20" s="18"/>
      <c r="K20" s="16"/>
      <c r="L20" s="61"/>
      <c r="M20" s="64">
        <f t="shared" si="2"/>
        <v>0</v>
      </c>
      <c r="N20" s="69"/>
      <c r="O20" s="14">
        <f t="shared" si="3"/>
        <v>0</v>
      </c>
      <c r="P20" s="18"/>
      <c r="Q20" s="16"/>
      <c r="R20" s="61">
        <v>37.799999999999997</v>
      </c>
      <c r="S20" s="64">
        <f t="shared" si="4"/>
        <v>37.799999999999997</v>
      </c>
      <c r="T20" s="69"/>
      <c r="U20" s="14">
        <f t="shared" si="5"/>
        <v>37.799999999999997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6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1770.9</v>
      </c>
      <c r="G21" s="64">
        <f t="shared" si="0"/>
        <v>1770.9</v>
      </c>
      <c r="H21" s="70">
        <v>42.6</v>
      </c>
      <c r="I21" s="14">
        <f>G21+H21</f>
        <v>1813.5</v>
      </c>
      <c r="J21" s="18"/>
      <c r="K21" s="16"/>
      <c r="L21" s="61">
        <v>365</v>
      </c>
      <c r="M21" s="64">
        <f t="shared" si="2"/>
        <v>365</v>
      </c>
      <c r="N21" s="70">
        <v>21</v>
      </c>
      <c r="O21" s="14">
        <f>M21+N21</f>
        <v>386</v>
      </c>
      <c r="P21" s="18"/>
      <c r="Q21" s="16"/>
      <c r="R21" s="61">
        <v>964.3</v>
      </c>
      <c r="S21" s="64">
        <f t="shared" si="4"/>
        <v>964.3</v>
      </c>
      <c r="T21" s="70">
        <v>2.9</v>
      </c>
      <c r="U21" s="14">
        <f>S21+T21</f>
        <v>967.19999999999993</v>
      </c>
      <c r="V21" s="18"/>
      <c r="W21" s="16"/>
      <c r="X21" s="61">
        <v>222</v>
      </c>
      <c r="Y21" s="64">
        <f t="shared" si="6"/>
        <v>222</v>
      </c>
      <c r="Z21" s="70">
        <v>10</v>
      </c>
      <c r="AA21" s="14">
        <f>Y21+Z21</f>
        <v>232</v>
      </c>
      <c r="AB21" s="146">
        <f t="shared" si="8"/>
        <v>0.60103626943005184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0"/>
        <v>0</v>
      </c>
      <c r="H22" s="70">
        <v>40.9</v>
      </c>
      <c r="I22" s="14">
        <f t="shared" ref="I22:I23" si="9">G22+H22</f>
        <v>40.9</v>
      </c>
      <c r="J22" s="18"/>
      <c r="K22" s="16"/>
      <c r="L22" s="61"/>
      <c r="M22" s="64">
        <f t="shared" si="2"/>
        <v>0</v>
      </c>
      <c r="N22" s="70">
        <v>21</v>
      </c>
      <c r="O22" s="14">
        <f t="shared" ref="O22:O23" si="10">M22+N22</f>
        <v>21</v>
      </c>
      <c r="P22" s="18"/>
      <c r="Q22" s="16"/>
      <c r="R22" s="61"/>
      <c r="S22" s="64">
        <f t="shared" si="4"/>
        <v>0</v>
      </c>
      <c r="T22" s="70"/>
      <c r="U22" s="14">
        <f t="shared" ref="U22:U23" si="11">S22+T22</f>
        <v>0</v>
      </c>
      <c r="V22" s="18"/>
      <c r="W22" s="16"/>
      <c r="X22" s="61"/>
      <c r="Y22" s="64">
        <f t="shared" si="6"/>
        <v>0</v>
      </c>
      <c r="Z22" s="70">
        <v>10</v>
      </c>
      <c r="AA22" s="14">
        <f t="shared" ref="AA22:AA23" si="12">Y22+Z22</f>
        <v>10</v>
      </c>
      <c r="AB22" s="146">
        <f t="shared" si="8"/>
        <v>0.47619047619047616</v>
      </c>
      <c r="AC22" s="4"/>
      <c r="AD22" s="4"/>
    </row>
    <row r="23" spans="1:30" ht="15.75" thickBot="1" x14ac:dyDescent="0.3">
      <c r="A23" s="5"/>
      <c r="B23" s="130" t="s">
        <v>15</v>
      </c>
      <c r="C23" s="131" t="s">
        <v>6</v>
      </c>
      <c r="D23" s="21"/>
      <c r="E23" s="22"/>
      <c r="F23" s="62">
        <v>85</v>
      </c>
      <c r="G23" s="65">
        <f t="shared" si="0"/>
        <v>85</v>
      </c>
      <c r="H23" s="71">
        <v>1.7</v>
      </c>
      <c r="I23" s="23">
        <f t="shared" si="9"/>
        <v>86.7</v>
      </c>
      <c r="J23" s="21"/>
      <c r="K23" s="22"/>
      <c r="L23" s="62"/>
      <c r="M23" s="65">
        <f t="shared" si="2"/>
        <v>0</v>
      </c>
      <c r="N23" s="71"/>
      <c r="O23" s="23">
        <f t="shared" si="10"/>
        <v>0</v>
      </c>
      <c r="P23" s="21"/>
      <c r="Q23" s="22"/>
      <c r="R23" s="62"/>
      <c r="S23" s="65">
        <f t="shared" si="4"/>
        <v>0</v>
      </c>
      <c r="T23" s="71"/>
      <c r="U23" s="23">
        <f t="shared" si="11"/>
        <v>0</v>
      </c>
      <c r="V23" s="21"/>
      <c r="W23" s="22"/>
      <c r="X23" s="62"/>
      <c r="Y23" s="65">
        <f t="shared" si="6"/>
        <v>0</v>
      </c>
      <c r="Z23" s="71"/>
      <c r="AA23" s="23">
        <f t="shared" si="12"/>
        <v>0</v>
      </c>
      <c r="AB23" s="149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23835.4</v>
      </c>
      <c r="E24" s="27">
        <f>SUM(E15:E21)</f>
        <v>43271.7</v>
      </c>
      <c r="F24" s="27">
        <f>SUM(F15:F21)</f>
        <v>53560.9</v>
      </c>
      <c r="G24" s="28">
        <f>SUM(D24:F24)</f>
        <v>120668</v>
      </c>
      <c r="H24" s="29">
        <f>SUM(H15:H21)</f>
        <v>207</v>
      </c>
      <c r="I24" s="29">
        <f>SUM(I15:I21)</f>
        <v>120875.00000000001</v>
      </c>
      <c r="J24" s="26">
        <f>SUM(J15:J21)</f>
        <v>26508.400000000001</v>
      </c>
      <c r="K24" s="27">
        <f>SUM(K15:K21)</f>
        <v>45637.599999999999</v>
      </c>
      <c r="L24" s="27">
        <f>SUM(L15:L21)</f>
        <v>52340</v>
      </c>
      <c r="M24" s="28">
        <f>SUM(J24:L24)</f>
        <v>124486</v>
      </c>
      <c r="N24" s="29">
        <f>SUM(N15:N21)</f>
        <v>173</v>
      </c>
      <c r="O24" s="29">
        <f>SUM(O15:O21)</f>
        <v>124659</v>
      </c>
      <c r="P24" s="26">
        <f>SUM(P15:P21)</f>
        <v>20127</v>
      </c>
      <c r="Q24" s="27">
        <f>SUM(Q15:Q21)</f>
        <v>30315.8</v>
      </c>
      <c r="R24" s="27">
        <f>SUM(R15:R21)</f>
        <v>28781.199999999997</v>
      </c>
      <c r="S24" s="28">
        <f>SUM(P24:R24)</f>
        <v>79224</v>
      </c>
      <c r="T24" s="29">
        <f>SUM(T15:T21)</f>
        <v>13.9</v>
      </c>
      <c r="U24" s="29">
        <f>SUM(U15:U21)</f>
        <v>79237.899999999994</v>
      </c>
      <c r="V24" s="26">
        <f>SUM(V15:V21)</f>
        <v>21544</v>
      </c>
      <c r="W24" s="27">
        <f>SUM(W15:W21)</f>
        <v>48469</v>
      </c>
      <c r="X24" s="27">
        <f>SUM(X15:X21)</f>
        <v>55597</v>
      </c>
      <c r="Y24" s="28">
        <f>SUM(V24:X24)</f>
        <v>125610</v>
      </c>
      <c r="Z24" s="29">
        <f>SUM(Z15:Z21)</f>
        <v>10</v>
      </c>
      <c r="AA24" s="29">
        <f>SUM(AA15:AA21)</f>
        <v>125620</v>
      </c>
      <c r="AB24" s="150">
        <f t="shared" si="8"/>
        <v>1.0077090302344796</v>
      </c>
      <c r="AC24" s="4"/>
      <c r="AD24" s="4"/>
    </row>
    <row r="25" spans="1:30" ht="15.75" customHeight="1" thickBot="1" x14ac:dyDescent="0.3">
      <c r="A25" s="5"/>
      <c r="B25" s="30"/>
      <c r="C25" s="31"/>
      <c r="D25" s="186" t="s">
        <v>68</v>
      </c>
      <c r="E25" s="187"/>
      <c r="F25" s="187"/>
      <c r="G25" s="188"/>
      <c r="H25" s="188"/>
      <c r="I25" s="189"/>
      <c r="J25" s="186" t="s">
        <v>68</v>
      </c>
      <c r="K25" s="187"/>
      <c r="L25" s="187"/>
      <c r="M25" s="188"/>
      <c r="N25" s="188"/>
      <c r="O25" s="189"/>
      <c r="P25" s="186" t="s">
        <v>68</v>
      </c>
      <c r="Q25" s="187"/>
      <c r="R25" s="187"/>
      <c r="S25" s="188"/>
      <c r="T25" s="188"/>
      <c r="U25" s="189"/>
      <c r="V25" s="186" t="s">
        <v>68</v>
      </c>
      <c r="W25" s="187"/>
      <c r="X25" s="187"/>
      <c r="Y25" s="188"/>
      <c r="Z25" s="188"/>
      <c r="AA25" s="189"/>
      <c r="AB25" s="159" t="s">
        <v>103</v>
      </c>
      <c r="AC25" s="4"/>
      <c r="AD25" s="4"/>
    </row>
    <row r="26" spans="1:30" ht="15.75" thickBot="1" x14ac:dyDescent="0.3">
      <c r="A26" s="5"/>
      <c r="B26" s="207" t="s">
        <v>37</v>
      </c>
      <c r="C26" s="202" t="s">
        <v>38</v>
      </c>
      <c r="D26" s="162" t="s">
        <v>69</v>
      </c>
      <c r="E26" s="163"/>
      <c r="F26" s="163"/>
      <c r="G26" s="179" t="s">
        <v>64</v>
      </c>
      <c r="H26" s="181" t="s">
        <v>67</v>
      </c>
      <c r="I26" s="164" t="s">
        <v>68</v>
      </c>
      <c r="J26" s="162" t="s">
        <v>69</v>
      </c>
      <c r="K26" s="163"/>
      <c r="L26" s="163"/>
      <c r="M26" s="179" t="s">
        <v>64</v>
      </c>
      <c r="N26" s="181" t="s">
        <v>67</v>
      </c>
      <c r="O26" s="164" t="s">
        <v>68</v>
      </c>
      <c r="P26" s="162" t="s">
        <v>69</v>
      </c>
      <c r="Q26" s="163"/>
      <c r="R26" s="163"/>
      <c r="S26" s="179" t="s">
        <v>64</v>
      </c>
      <c r="T26" s="181" t="s">
        <v>67</v>
      </c>
      <c r="U26" s="164" t="s">
        <v>68</v>
      </c>
      <c r="V26" s="162" t="s">
        <v>69</v>
      </c>
      <c r="W26" s="163"/>
      <c r="X26" s="163"/>
      <c r="Y26" s="179" t="s">
        <v>64</v>
      </c>
      <c r="Z26" s="181" t="s">
        <v>67</v>
      </c>
      <c r="AA26" s="164" t="s">
        <v>68</v>
      </c>
      <c r="AB26" s="160"/>
      <c r="AC26" s="4"/>
      <c r="AD26" s="4"/>
    </row>
    <row r="27" spans="1:30" ht="15.75" thickBot="1" x14ac:dyDescent="0.3">
      <c r="A27" s="5"/>
      <c r="B27" s="208"/>
      <c r="C27" s="203"/>
      <c r="D27" s="32" t="s">
        <v>54</v>
      </c>
      <c r="E27" s="33" t="s">
        <v>55</v>
      </c>
      <c r="F27" s="34" t="s">
        <v>56</v>
      </c>
      <c r="G27" s="180"/>
      <c r="H27" s="182"/>
      <c r="I27" s="165"/>
      <c r="J27" s="32" t="s">
        <v>54</v>
      </c>
      <c r="K27" s="33" t="s">
        <v>55</v>
      </c>
      <c r="L27" s="34" t="s">
        <v>56</v>
      </c>
      <c r="M27" s="180"/>
      <c r="N27" s="182"/>
      <c r="O27" s="165"/>
      <c r="P27" s="32" t="s">
        <v>54</v>
      </c>
      <c r="Q27" s="33" t="s">
        <v>55</v>
      </c>
      <c r="R27" s="34" t="s">
        <v>56</v>
      </c>
      <c r="S27" s="180"/>
      <c r="T27" s="182"/>
      <c r="U27" s="165"/>
      <c r="V27" s="32" t="s">
        <v>54</v>
      </c>
      <c r="W27" s="33" t="s">
        <v>55</v>
      </c>
      <c r="X27" s="34" t="s">
        <v>56</v>
      </c>
      <c r="Y27" s="180"/>
      <c r="Z27" s="182"/>
      <c r="AA27" s="165"/>
      <c r="AB27" s="161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80">
        <f>1208.2-281.2</f>
        <v>927</v>
      </c>
      <c r="E28" s="72"/>
      <c r="F28" s="72">
        <f>274+7.2</f>
        <v>281.2</v>
      </c>
      <c r="G28" s="73">
        <f>SUM(D28:F28)</f>
        <v>1208.2</v>
      </c>
      <c r="H28" s="73"/>
      <c r="I28" s="37">
        <f>G28+H28</f>
        <v>1208.2</v>
      </c>
      <c r="J28" s="80">
        <v>952</v>
      </c>
      <c r="K28" s="72">
        <v>40</v>
      </c>
      <c r="L28" s="72">
        <v>500</v>
      </c>
      <c r="M28" s="73">
        <f>SUM(J28:L28)</f>
        <v>1492</v>
      </c>
      <c r="N28" s="73"/>
      <c r="O28" s="37">
        <f>M28+N28</f>
        <v>1492</v>
      </c>
      <c r="P28" s="80">
        <f>339.1-5-267</f>
        <v>67.100000000000023</v>
      </c>
      <c r="Q28" s="72">
        <v>5</v>
      </c>
      <c r="R28" s="72">
        <f>272-5</f>
        <v>267</v>
      </c>
      <c r="S28" s="73">
        <f>SUM(P28:R28)</f>
        <v>339.1</v>
      </c>
      <c r="T28" s="73"/>
      <c r="U28" s="37">
        <f>S28+T28</f>
        <v>339.1</v>
      </c>
      <c r="V28" s="80">
        <v>596</v>
      </c>
      <c r="W28" s="72"/>
      <c r="X28" s="72">
        <v>700</v>
      </c>
      <c r="Y28" s="73">
        <f>SUM(V28:X28)</f>
        <v>1296</v>
      </c>
      <c r="Z28" s="73"/>
      <c r="AA28" s="37">
        <f>Y28+Z28</f>
        <v>1296</v>
      </c>
      <c r="AB28" s="146">
        <f t="shared" ref="AB28:AB41" si="13">(AA28/O28)</f>
        <v>0.86863270777479895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81">
        <f>14155.3-10568</f>
        <v>3587.2999999999993</v>
      </c>
      <c r="E29" s="74"/>
      <c r="F29" s="74">
        <f>10493+75</f>
        <v>10568</v>
      </c>
      <c r="G29" s="75">
        <f t="shared" ref="G29:G38" si="14">SUM(D29:F29)</f>
        <v>14155.3</v>
      </c>
      <c r="H29" s="76">
        <v>2.9</v>
      </c>
      <c r="I29" s="14">
        <f t="shared" ref="I29:I38" si="15">G29+H29</f>
        <v>14158.199999999999</v>
      </c>
      <c r="J29" s="81">
        <v>7328</v>
      </c>
      <c r="K29" s="74">
        <v>10</v>
      </c>
      <c r="L29" s="74">
        <v>8000</v>
      </c>
      <c r="M29" s="75">
        <f t="shared" ref="M29:M38" si="16">SUM(J29:L29)</f>
        <v>15338</v>
      </c>
      <c r="N29" s="76">
        <v>3</v>
      </c>
      <c r="O29" s="14">
        <f t="shared" ref="O29:O38" si="17">M29+N29</f>
        <v>15341</v>
      </c>
      <c r="P29" s="81">
        <f>6524.5-230.5-3796.5</f>
        <v>2497.5</v>
      </c>
      <c r="Q29" s="74">
        <f>27.8+202.7</f>
        <v>230.5</v>
      </c>
      <c r="R29" s="74">
        <f>4027-230.5</f>
        <v>3796.5</v>
      </c>
      <c r="S29" s="75">
        <f t="shared" ref="S29:S38" si="18">SUM(P29:R29)</f>
        <v>6524.5</v>
      </c>
      <c r="T29" s="76"/>
      <c r="U29" s="14">
        <f t="shared" ref="U29:U38" si="19">S29+T29</f>
        <v>6524.5</v>
      </c>
      <c r="V29" s="81">
        <v>8000</v>
      </c>
      <c r="W29" s="74"/>
      <c r="X29" s="74">
        <v>7585</v>
      </c>
      <c r="Y29" s="75">
        <f t="shared" ref="Y29:Y38" si="20">SUM(V29:X29)</f>
        <v>15585</v>
      </c>
      <c r="Z29" s="76"/>
      <c r="AA29" s="14">
        <f t="shared" ref="AA29:AA38" si="21">Y29+Z29</f>
        <v>15585</v>
      </c>
      <c r="AB29" s="146">
        <f t="shared" si="13"/>
        <v>1.0159050909327945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82">
        <f>7816.7-6869.3</f>
        <v>947.39999999999964</v>
      </c>
      <c r="E30" s="77"/>
      <c r="F30" s="77">
        <f>7.7+115.6+6746</f>
        <v>6869.3</v>
      </c>
      <c r="G30" s="75">
        <f t="shared" si="14"/>
        <v>7816.7</v>
      </c>
      <c r="H30" s="75"/>
      <c r="I30" s="14">
        <f t="shared" si="15"/>
        <v>7816.7</v>
      </c>
      <c r="J30" s="82">
        <v>3590</v>
      </c>
      <c r="K30" s="77">
        <v>560</v>
      </c>
      <c r="L30" s="77">
        <v>5000</v>
      </c>
      <c r="M30" s="75">
        <f t="shared" si="16"/>
        <v>9150</v>
      </c>
      <c r="N30" s="75"/>
      <c r="O30" s="14">
        <f t="shared" si="17"/>
        <v>9150</v>
      </c>
      <c r="P30" s="82">
        <f>4088.2-410.2-2762.8</f>
        <v>915.19999999999982</v>
      </c>
      <c r="Q30" s="77">
        <f>100.2+260.2+49.8</f>
        <v>410.2</v>
      </c>
      <c r="R30" s="77">
        <f>3173-410.2</f>
        <v>2762.8</v>
      </c>
      <c r="S30" s="75">
        <f t="shared" si="18"/>
        <v>4088.2</v>
      </c>
      <c r="T30" s="75"/>
      <c r="U30" s="14">
        <f t="shared" si="19"/>
        <v>4088.2</v>
      </c>
      <c r="V30" s="82">
        <v>4285</v>
      </c>
      <c r="W30" s="77">
        <v>500</v>
      </c>
      <c r="X30" s="77">
        <v>3000</v>
      </c>
      <c r="Y30" s="75">
        <f t="shared" si="20"/>
        <v>7785</v>
      </c>
      <c r="Z30" s="75"/>
      <c r="AA30" s="14">
        <f t="shared" si="21"/>
        <v>7785</v>
      </c>
      <c r="AB30" s="146">
        <f t="shared" si="13"/>
        <v>0.85081967213114751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82">
        <f>21+209+6251.4-179.9-3476</f>
        <v>2825.5</v>
      </c>
      <c r="E31" s="77">
        <v>179.9</v>
      </c>
      <c r="F31" s="77">
        <f>156+3320</f>
        <v>3476</v>
      </c>
      <c r="G31" s="75">
        <f t="shared" si="14"/>
        <v>6481.4</v>
      </c>
      <c r="H31" s="75">
        <v>4.8</v>
      </c>
      <c r="I31" s="14">
        <f t="shared" si="15"/>
        <v>6486.2</v>
      </c>
      <c r="J31" s="82">
        <v>2175.4</v>
      </c>
      <c r="K31" s="77">
        <v>543.6</v>
      </c>
      <c r="L31" s="77">
        <v>4000</v>
      </c>
      <c r="M31" s="75">
        <f t="shared" si="16"/>
        <v>6719</v>
      </c>
      <c r="N31" s="75"/>
      <c r="O31" s="14">
        <f t="shared" si="17"/>
        <v>6719</v>
      </c>
      <c r="P31" s="82">
        <f>6.4+73.9+2940.8-257.2-1880.8+669.7</f>
        <v>1552.8000000000006</v>
      </c>
      <c r="Q31" s="77">
        <f>0.9+4.3+209.4-211.7+96+0.7+0.8+156.8</f>
        <v>257.20000000000005</v>
      </c>
      <c r="R31" s="77">
        <f>1880.8-669.7</f>
        <v>1211.0999999999999</v>
      </c>
      <c r="S31" s="75">
        <f t="shared" si="18"/>
        <v>3021.1000000000004</v>
      </c>
      <c r="T31" s="75"/>
      <c r="U31" s="14">
        <f t="shared" si="19"/>
        <v>3021.1000000000004</v>
      </c>
      <c r="V31" s="82">
        <v>3256</v>
      </c>
      <c r="W31" s="77">
        <v>369</v>
      </c>
      <c r="X31" s="77">
        <v>3000</v>
      </c>
      <c r="Y31" s="75">
        <f t="shared" si="20"/>
        <v>6625</v>
      </c>
      <c r="Z31" s="75"/>
      <c r="AA31" s="14">
        <f t="shared" si="21"/>
        <v>6625</v>
      </c>
      <c r="AB31" s="146">
        <f t="shared" si="13"/>
        <v>0.98600982289031103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82">
        <f>9551+852.2</f>
        <v>10403.200000000001</v>
      </c>
      <c r="E32" s="77">
        <f>26085+2303.8+2198.9+1914.7+1230.4</f>
        <v>33732.800000000003</v>
      </c>
      <c r="F32" s="77">
        <f>494.8+286.5+20090-852.2-58.8</f>
        <v>19960.3</v>
      </c>
      <c r="G32" s="75">
        <f t="shared" si="14"/>
        <v>64096.3</v>
      </c>
      <c r="H32" s="75">
        <v>58.8</v>
      </c>
      <c r="I32" s="14">
        <f t="shared" si="15"/>
        <v>64155.100000000006</v>
      </c>
      <c r="J32" s="82">
        <v>8110</v>
      </c>
      <c r="K32" s="77">
        <v>33038</v>
      </c>
      <c r="L32" s="77">
        <v>23388</v>
      </c>
      <c r="M32" s="75">
        <f t="shared" si="16"/>
        <v>64536</v>
      </c>
      <c r="N32" s="75">
        <v>60</v>
      </c>
      <c r="O32" s="14">
        <f t="shared" si="17"/>
        <v>64596</v>
      </c>
      <c r="P32" s="82">
        <f>31919.1-14483.1-12185.9</f>
        <v>5250.1</v>
      </c>
      <c r="Q32" s="77">
        <f>1722.7+11572.1+1398.8-201.3-470.8-201.3+864.2-201.3</f>
        <v>14483.100000000004</v>
      </c>
      <c r="R32" s="77">
        <v>12185.9</v>
      </c>
      <c r="S32" s="75">
        <f t="shared" si="18"/>
        <v>31919.100000000006</v>
      </c>
      <c r="T32" s="75"/>
      <c r="U32" s="14">
        <f t="shared" si="19"/>
        <v>31919.100000000006</v>
      </c>
      <c r="V32" s="82">
        <v>1665</v>
      </c>
      <c r="W32" s="77">
        <v>35600</v>
      </c>
      <c r="X32" s="77">
        <v>28900</v>
      </c>
      <c r="Y32" s="75">
        <f t="shared" si="20"/>
        <v>66165</v>
      </c>
      <c r="Z32" s="75"/>
      <c r="AA32" s="14">
        <f t="shared" si="21"/>
        <v>66165</v>
      </c>
      <c r="AB32" s="146">
        <f t="shared" si="13"/>
        <v>1.0242894296860487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82">
        <v>10403.200000000001</v>
      </c>
      <c r="E33" s="77">
        <v>33559.1</v>
      </c>
      <c r="F33" s="77">
        <v>19367.599999999999</v>
      </c>
      <c r="G33" s="75">
        <f t="shared" si="14"/>
        <v>63329.9</v>
      </c>
      <c r="H33" s="75">
        <v>0</v>
      </c>
      <c r="I33" s="14">
        <f t="shared" si="15"/>
        <v>63329.9</v>
      </c>
      <c r="J33" s="82">
        <v>7682</v>
      </c>
      <c r="K33" s="77">
        <v>32766</v>
      </c>
      <c r="L33" s="77">
        <v>23388</v>
      </c>
      <c r="M33" s="75">
        <f t="shared" si="16"/>
        <v>63836</v>
      </c>
      <c r="N33" s="75">
        <v>60</v>
      </c>
      <c r="O33" s="14">
        <f t="shared" si="17"/>
        <v>63896</v>
      </c>
      <c r="P33" s="82">
        <f>5250.1-526.8</f>
        <v>4723.3</v>
      </c>
      <c r="Q33" s="77">
        <f>14483.1-123.6</f>
        <v>14359.5</v>
      </c>
      <c r="R33" s="77">
        <v>12185.9</v>
      </c>
      <c r="S33" s="75">
        <f t="shared" si="18"/>
        <v>31268.699999999997</v>
      </c>
      <c r="T33" s="75"/>
      <c r="U33" s="14">
        <f t="shared" si="19"/>
        <v>31268.699999999997</v>
      </c>
      <c r="V33" s="82">
        <v>1565</v>
      </c>
      <c r="W33" s="77"/>
      <c r="X33" s="77"/>
      <c r="Y33" s="75">
        <f t="shared" si="20"/>
        <v>1565</v>
      </c>
      <c r="Z33" s="75"/>
      <c r="AA33" s="14">
        <f t="shared" si="21"/>
        <v>1565</v>
      </c>
      <c r="AB33" s="146">
        <f t="shared" si="13"/>
        <v>2.4492926004757731E-2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82"/>
      <c r="E34" s="77">
        <v>173.7</v>
      </c>
      <c r="F34" s="77">
        <v>592.70000000000005</v>
      </c>
      <c r="G34" s="75">
        <f t="shared" si="14"/>
        <v>766.40000000000009</v>
      </c>
      <c r="H34" s="75">
        <v>58.8</v>
      </c>
      <c r="I34" s="14">
        <f t="shared" si="15"/>
        <v>825.2</v>
      </c>
      <c r="J34" s="82">
        <v>428</v>
      </c>
      <c r="K34" s="77">
        <v>272</v>
      </c>
      <c r="L34" s="77"/>
      <c r="M34" s="75">
        <f t="shared" si="16"/>
        <v>700</v>
      </c>
      <c r="N34" s="75"/>
      <c r="O34" s="14">
        <f t="shared" si="17"/>
        <v>700</v>
      </c>
      <c r="P34" s="82">
        <v>526.79999999999995</v>
      </c>
      <c r="Q34" s="77">
        <f>30.3+71.2+22.1</f>
        <v>123.6</v>
      </c>
      <c r="R34" s="77"/>
      <c r="S34" s="75">
        <f t="shared" si="18"/>
        <v>650.4</v>
      </c>
      <c r="T34" s="75"/>
      <c r="U34" s="14">
        <f t="shared" si="19"/>
        <v>650.4</v>
      </c>
      <c r="V34" s="82">
        <v>100</v>
      </c>
      <c r="W34" s="77"/>
      <c r="X34" s="77"/>
      <c r="Y34" s="75">
        <f t="shared" si="20"/>
        <v>100</v>
      </c>
      <c r="Z34" s="75"/>
      <c r="AA34" s="14">
        <f t="shared" si="21"/>
        <v>100</v>
      </c>
      <c r="AB34" s="146">
        <f t="shared" si="13"/>
        <v>0.14285714285714285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82">
        <v>3927.4</v>
      </c>
      <c r="E35" s="77">
        <f>6802.1+778+916.4+744.2</f>
        <v>9240.7000000000007</v>
      </c>
      <c r="F35" s="77">
        <f>8189-18.1</f>
        <v>8170.9</v>
      </c>
      <c r="G35" s="75">
        <f t="shared" si="14"/>
        <v>21339</v>
      </c>
      <c r="H35" s="75">
        <v>18.100000000000001</v>
      </c>
      <c r="I35" s="14">
        <f t="shared" si="15"/>
        <v>21357.1</v>
      </c>
      <c r="J35" s="82">
        <v>2612</v>
      </c>
      <c r="K35" s="77">
        <v>11187</v>
      </c>
      <c r="L35" s="77">
        <v>7952</v>
      </c>
      <c r="M35" s="75">
        <f t="shared" si="16"/>
        <v>21751</v>
      </c>
      <c r="N35" s="75">
        <v>20</v>
      </c>
      <c r="O35" s="14">
        <f t="shared" si="17"/>
        <v>21771</v>
      </c>
      <c r="P35" s="82">
        <f>130.6+10510.9-1352.6-7537.4</f>
        <v>1751.5</v>
      </c>
      <c r="Q35" s="77">
        <f>7.7+570+479+295.9</f>
        <v>1352.6</v>
      </c>
      <c r="R35" s="77">
        <f>8890-1352.6</f>
        <v>7537.4</v>
      </c>
      <c r="S35" s="75">
        <f t="shared" si="18"/>
        <v>10641.5</v>
      </c>
      <c r="T35" s="75"/>
      <c r="U35" s="14">
        <f t="shared" si="19"/>
        <v>10641.5</v>
      </c>
      <c r="V35" s="82">
        <v>667</v>
      </c>
      <c r="W35" s="77">
        <v>12000</v>
      </c>
      <c r="X35" s="77">
        <v>9722</v>
      </c>
      <c r="Y35" s="75">
        <f t="shared" si="20"/>
        <v>22389</v>
      </c>
      <c r="Z35" s="75"/>
      <c r="AA35" s="14">
        <f t="shared" si="21"/>
        <v>22389</v>
      </c>
      <c r="AB35" s="146">
        <f t="shared" si="13"/>
        <v>1.0283863855587709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82"/>
      <c r="E36" s="77"/>
      <c r="F36" s="77">
        <v>3.6</v>
      </c>
      <c r="G36" s="75">
        <f t="shared" si="14"/>
        <v>3.6</v>
      </c>
      <c r="H36" s="75"/>
      <c r="I36" s="14">
        <f t="shared" si="15"/>
        <v>3.6</v>
      </c>
      <c r="J36" s="82">
        <v>4</v>
      </c>
      <c r="K36" s="77"/>
      <c r="L36" s="77"/>
      <c r="M36" s="75">
        <f t="shared" si="16"/>
        <v>4</v>
      </c>
      <c r="N36" s="75"/>
      <c r="O36" s="14">
        <f t="shared" si="17"/>
        <v>4</v>
      </c>
      <c r="P36" s="82">
        <f>1.4-0.1</f>
        <v>1.2999999999999998</v>
      </c>
      <c r="Q36" s="77">
        <v>0.09</v>
      </c>
      <c r="R36" s="77"/>
      <c r="S36" s="75">
        <f t="shared" si="18"/>
        <v>1.39</v>
      </c>
      <c r="T36" s="75"/>
      <c r="U36" s="14">
        <f t="shared" si="19"/>
        <v>1.39</v>
      </c>
      <c r="V36" s="82">
        <v>0</v>
      </c>
      <c r="W36" s="77">
        <v>0</v>
      </c>
      <c r="X36" s="77">
        <v>0</v>
      </c>
      <c r="Y36" s="75">
        <f t="shared" si="20"/>
        <v>0</v>
      </c>
      <c r="Z36" s="75"/>
      <c r="AA36" s="14">
        <f t="shared" si="21"/>
        <v>0</v>
      </c>
      <c r="AB36" s="146">
        <f t="shared" si="13"/>
        <v>0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82">
        <f>1291-1058.3</f>
        <v>232.70000000000005</v>
      </c>
      <c r="E37" s="77"/>
      <c r="F37" s="77">
        <f>14.1+144.2+900</f>
        <v>1058.3</v>
      </c>
      <c r="G37" s="75">
        <f t="shared" si="14"/>
        <v>1291</v>
      </c>
      <c r="H37" s="75"/>
      <c r="I37" s="14">
        <f t="shared" si="15"/>
        <v>1291</v>
      </c>
      <c r="J37" s="82">
        <v>879</v>
      </c>
      <c r="K37" s="77">
        <v>53</v>
      </c>
      <c r="L37" s="77">
        <v>500</v>
      </c>
      <c r="M37" s="75">
        <f t="shared" si="16"/>
        <v>1432</v>
      </c>
      <c r="N37" s="75"/>
      <c r="O37" s="14">
        <f t="shared" si="17"/>
        <v>1432</v>
      </c>
      <c r="P37" s="82">
        <f>685.7-7.2-274.8</f>
        <v>403.7</v>
      </c>
      <c r="Q37" s="77">
        <v>7.2</v>
      </c>
      <c r="R37" s="77">
        <f>282-7.2</f>
        <v>274.8</v>
      </c>
      <c r="S37" s="75">
        <f t="shared" si="18"/>
        <v>685.7</v>
      </c>
      <c r="T37" s="75"/>
      <c r="U37" s="14">
        <f t="shared" si="19"/>
        <v>685.7</v>
      </c>
      <c r="V37" s="82">
        <v>785</v>
      </c>
      <c r="W37" s="77"/>
      <c r="X37" s="77">
        <v>600</v>
      </c>
      <c r="Y37" s="75">
        <f t="shared" si="20"/>
        <v>1385</v>
      </c>
      <c r="Z37" s="75"/>
      <c r="AA37" s="14">
        <f t="shared" si="21"/>
        <v>1385</v>
      </c>
      <c r="AB37" s="146">
        <f t="shared" si="13"/>
        <v>0.96717877094972071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83">
        <f>4276.6-118.3-3173.4</f>
        <v>984.90000000000009</v>
      </c>
      <c r="E38" s="78">
        <v>118.3</v>
      </c>
      <c r="F38" s="78">
        <f>3110+63.3</f>
        <v>3173.3</v>
      </c>
      <c r="G38" s="79">
        <f t="shared" si="14"/>
        <v>4276.5</v>
      </c>
      <c r="H38" s="79"/>
      <c r="I38" s="23">
        <f t="shared" si="15"/>
        <v>4276.5</v>
      </c>
      <c r="J38" s="83">
        <v>948</v>
      </c>
      <c r="K38" s="78">
        <v>206</v>
      </c>
      <c r="L38" s="78">
        <v>3000</v>
      </c>
      <c r="M38" s="79">
        <f t="shared" si="16"/>
        <v>4154</v>
      </c>
      <c r="N38" s="79"/>
      <c r="O38" s="23">
        <f t="shared" si="17"/>
        <v>4154</v>
      </c>
      <c r="P38" s="83">
        <f>942.8+10.4+392.7+331.3+0.2-136.3-745.7</f>
        <v>795.39999999999986</v>
      </c>
      <c r="Q38" s="78">
        <f>49.4+4.3+0.02+5.9+30.4+7.4+4+31.8+3.1</f>
        <v>136.32</v>
      </c>
      <c r="R38" s="78">
        <f>882-136.3</f>
        <v>745.7</v>
      </c>
      <c r="S38" s="79">
        <f t="shared" si="18"/>
        <v>1677.4199999999998</v>
      </c>
      <c r="T38" s="79"/>
      <c r="U38" s="23">
        <f t="shared" si="19"/>
        <v>1677.4199999999998</v>
      </c>
      <c r="V38" s="83">
        <v>2290</v>
      </c>
      <c r="W38" s="78"/>
      <c r="X38" s="78">
        <v>2100</v>
      </c>
      <c r="Y38" s="79">
        <f t="shared" si="20"/>
        <v>4390</v>
      </c>
      <c r="Z38" s="79"/>
      <c r="AA38" s="23">
        <f t="shared" si="21"/>
        <v>4390</v>
      </c>
      <c r="AB38" s="149">
        <f t="shared" si="13"/>
        <v>1.0568127106403467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23835.4</v>
      </c>
      <c r="E39" s="42">
        <f>SUM(E35:E38)+SUM(E28:E32)</f>
        <v>43271.700000000004</v>
      </c>
      <c r="F39" s="42">
        <f>SUM(F35:F38)+SUM(F28:F32)</f>
        <v>53560.9</v>
      </c>
      <c r="G39" s="145">
        <f>SUM(D39:F39)</f>
        <v>120668</v>
      </c>
      <c r="H39" s="43">
        <f>SUM(H28:H32)+SUM(H35:H38)</f>
        <v>84.6</v>
      </c>
      <c r="I39" s="44">
        <f>SUM(I35:I38)+SUM(I28:I32)</f>
        <v>120752.6</v>
      </c>
      <c r="J39" s="42">
        <f>SUM(J35:J38)+SUM(J28:J32)</f>
        <v>26598.400000000001</v>
      </c>
      <c r="K39" s="42">
        <f>SUM(K35:K38)+SUM(K28:K32)</f>
        <v>45637.599999999999</v>
      </c>
      <c r="L39" s="42">
        <f>SUM(L35:L38)+SUM(L28:L32)</f>
        <v>52340</v>
      </c>
      <c r="M39" s="145">
        <f>SUM(J39:L39)</f>
        <v>124576</v>
      </c>
      <c r="N39" s="43">
        <f>SUM(N28:N32)+SUM(N35:N38)</f>
        <v>83</v>
      </c>
      <c r="O39" s="44">
        <f>SUM(O35:O38)+SUM(O28:O32)</f>
        <v>124659</v>
      </c>
      <c r="P39" s="42">
        <f>SUM(P35:P38)+SUM(P28:P32)</f>
        <v>13234.6</v>
      </c>
      <c r="Q39" s="42">
        <f>SUM(Q35:Q38)+SUM(Q28:Q32)</f>
        <v>16882.210000000003</v>
      </c>
      <c r="R39" s="42">
        <f>SUM(R35:R38)+SUM(R28:R32)</f>
        <v>28781.199999999997</v>
      </c>
      <c r="S39" s="145">
        <f>SUM(P39:R39)</f>
        <v>58898.01</v>
      </c>
      <c r="T39" s="43">
        <f>SUM(T28:T32)+SUM(T35:T38)</f>
        <v>0</v>
      </c>
      <c r="U39" s="44">
        <f>SUM(U35:U38)+SUM(U28:U32)</f>
        <v>58898.010000000009</v>
      </c>
      <c r="V39" s="42">
        <f>SUM(V35:V38)+SUM(V28:V32)</f>
        <v>21544</v>
      </c>
      <c r="W39" s="42">
        <f>SUM(W35:W38)+SUM(W28:W32)</f>
        <v>48469</v>
      </c>
      <c r="X39" s="42">
        <f>SUM(X35:X38)+SUM(X28:X32)</f>
        <v>55607</v>
      </c>
      <c r="Y39" s="145">
        <f>SUM(V39:X39)</f>
        <v>125620</v>
      </c>
      <c r="Z39" s="43">
        <f>SUM(Z28:Z32)+SUM(Z35:Z38)</f>
        <v>0</v>
      </c>
      <c r="AA39" s="44">
        <f>SUM(AA35:AA38)+SUM(AA28:AA32)</f>
        <v>125620</v>
      </c>
      <c r="AB39" s="151">
        <f t="shared" si="13"/>
        <v>1.0077090302344796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U40" si="22">D24-D39</f>
        <v>0</v>
      </c>
      <c r="E40" s="109">
        <f t="shared" si="22"/>
        <v>0</v>
      </c>
      <c r="F40" s="109">
        <f t="shared" si="22"/>
        <v>0</v>
      </c>
      <c r="G40" s="117">
        <f t="shared" si="22"/>
        <v>0</v>
      </c>
      <c r="H40" s="117">
        <f t="shared" si="22"/>
        <v>122.4</v>
      </c>
      <c r="I40" s="118">
        <f t="shared" si="22"/>
        <v>122.40000000000873</v>
      </c>
      <c r="J40" s="109">
        <f t="shared" si="22"/>
        <v>-90</v>
      </c>
      <c r="K40" s="109">
        <f t="shared" si="22"/>
        <v>0</v>
      </c>
      <c r="L40" s="109">
        <f t="shared" si="22"/>
        <v>0</v>
      </c>
      <c r="M40" s="117">
        <f t="shared" si="22"/>
        <v>-90</v>
      </c>
      <c r="N40" s="117">
        <f t="shared" si="22"/>
        <v>90</v>
      </c>
      <c r="O40" s="118">
        <f t="shared" si="22"/>
        <v>0</v>
      </c>
      <c r="P40" s="109">
        <f t="shared" si="22"/>
        <v>6892.4</v>
      </c>
      <c r="Q40" s="109">
        <f t="shared" si="22"/>
        <v>13433.589999999997</v>
      </c>
      <c r="R40" s="109">
        <f t="shared" si="22"/>
        <v>0</v>
      </c>
      <c r="S40" s="117">
        <f t="shared" si="22"/>
        <v>20325.989999999998</v>
      </c>
      <c r="T40" s="117">
        <f t="shared" si="22"/>
        <v>13.9</v>
      </c>
      <c r="U40" s="118">
        <f t="shared" si="22"/>
        <v>20339.889999999985</v>
      </c>
      <c r="V40" s="109">
        <f t="shared" ref="V40:AA40" si="23">V24-V39</f>
        <v>0</v>
      </c>
      <c r="W40" s="109">
        <f t="shared" si="23"/>
        <v>0</v>
      </c>
      <c r="X40" s="109">
        <f t="shared" si="23"/>
        <v>-10</v>
      </c>
      <c r="Y40" s="117">
        <f t="shared" si="23"/>
        <v>-10</v>
      </c>
      <c r="Z40" s="117">
        <f t="shared" si="23"/>
        <v>10</v>
      </c>
      <c r="AA40" s="118">
        <f t="shared" si="23"/>
        <v>0</v>
      </c>
      <c r="AB40" s="152" t="e">
        <f t="shared" si="13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6"/>
      <c r="I41" s="115">
        <f>I40-D16</f>
        <v>-23542.999999999993</v>
      </c>
      <c r="J41" s="112"/>
      <c r="K41" s="113"/>
      <c r="L41" s="113"/>
      <c r="M41" s="114"/>
      <c r="N41" s="116"/>
      <c r="O41" s="115">
        <f>O40-J16</f>
        <v>-26508.400000000001</v>
      </c>
      <c r="P41" s="112"/>
      <c r="Q41" s="113"/>
      <c r="R41" s="113"/>
      <c r="S41" s="114"/>
      <c r="T41" s="116"/>
      <c r="U41" s="115">
        <f>U40-P16</f>
        <v>212.88999999998487</v>
      </c>
      <c r="V41" s="112"/>
      <c r="W41" s="113"/>
      <c r="X41" s="113"/>
      <c r="Y41" s="114"/>
      <c r="Z41" s="116"/>
      <c r="AA41" s="115">
        <f>AA40-V16</f>
        <v>-21544</v>
      </c>
      <c r="AB41" s="146">
        <f t="shared" si="13"/>
        <v>0.8127235140559218</v>
      </c>
      <c r="AC41" s="4"/>
      <c r="AD41" s="4"/>
    </row>
    <row r="42" spans="1:30" s="121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1" customFormat="1" ht="15.75" customHeight="1" thickBot="1" x14ac:dyDescent="0.3">
      <c r="A43" s="87"/>
      <c r="B43" s="92"/>
      <c r="C43" s="199" t="s">
        <v>83</v>
      </c>
      <c r="D43" s="106" t="s">
        <v>41</v>
      </c>
      <c r="E43" s="45" t="s">
        <v>84</v>
      </c>
      <c r="F43" s="46" t="s">
        <v>36</v>
      </c>
      <c r="G43" s="49"/>
      <c r="H43" s="49"/>
      <c r="I43" s="50"/>
      <c r="J43" s="106" t="s">
        <v>41</v>
      </c>
      <c r="K43" s="45" t="s">
        <v>84</v>
      </c>
      <c r="L43" s="46" t="s">
        <v>36</v>
      </c>
      <c r="M43" s="49"/>
      <c r="N43" s="49"/>
      <c r="O43" s="49"/>
      <c r="P43" s="106" t="s">
        <v>41</v>
      </c>
      <c r="Q43" s="45" t="s">
        <v>84</v>
      </c>
      <c r="R43" s="46" t="s">
        <v>36</v>
      </c>
      <c r="S43" s="90"/>
      <c r="T43" s="90"/>
      <c r="U43" s="90"/>
      <c r="V43" s="106" t="s">
        <v>41</v>
      </c>
      <c r="W43" s="45" t="s">
        <v>84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00"/>
      <c r="D44" s="94">
        <v>224</v>
      </c>
      <c r="E44" s="104"/>
      <c r="F44" s="105">
        <v>224</v>
      </c>
      <c r="G44" s="49"/>
      <c r="H44" s="49"/>
      <c r="I44" s="50"/>
      <c r="J44" s="94"/>
      <c r="K44" s="104"/>
      <c r="L44" s="105">
        <v>0</v>
      </c>
      <c r="M44" s="93"/>
      <c r="N44" s="93"/>
      <c r="O44" s="93"/>
      <c r="P44" s="94"/>
      <c r="Q44" s="104"/>
      <c r="R44" s="105">
        <v>0</v>
      </c>
      <c r="S44" s="4"/>
      <c r="T44" s="4"/>
      <c r="U44" s="4"/>
      <c r="V44" s="94"/>
      <c r="W44" s="104"/>
      <c r="X44" s="105">
        <v>0</v>
      </c>
      <c r="Y44" s="4"/>
      <c r="Z44" s="4"/>
      <c r="AA44" s="4"/>
      <c r="AB44" s="4"/>
      <c r="AC44" s="4"/>
      <c r="AD44" s="4"/>
    </row>
    <row r="45" spans="1:30" s="121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1" customFormat="1" ht="37.5" customHeight="1" thickBot="1" x14ac:dyDescent="0.3">
      <c r="A46" s="87"/>
      <c r="B46" s="92"/>
      <c r="C46" s="199" t="s">
        <v>86</v>
      </c>
      <c r="D46" s="95" t="s">
        <v>87</v>
      </c>
      <c r="E46" s="96" t="s">
        <v>85</v>
      </c>
      <c r="F46" s="49"/>
      <c r="G46" s="49"/>
      <c r="H46" s="49"/>
      <c r="I46" s="50"/>
      <c r="J46" s="95" t="s">
        <v>87</v>
      </c>
      <c r="K46" s="96" t="s">
        <v>85</v>
      </c>
      <c r="L46" s="147"/>
      <c r="M46" s="147"/>
      <c r="N46" s="90"/>
      <c r="O46" s="90"/>
      <c r="P46" s="95" t="s">
        <v>87</v>
      </c>
      <c r="Q46" s="96" t="s">
        <v>85</v>
      </c>
      <c r="R46" s="90"/>
      <c r="S46" s="90"/>
      <c r="T46" s="90"/>
      <c r="U46" s="90"/>
      <c r="V46" s="95" t="s">
        <v>87</v>
      </c>
      <c r="W46" s="96" t="s">
        <v>85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01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8"/>
      <c r="M47" s="148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82</v>
      </c>
      <c r="D49" s="99" t="s">
        <v>73</v>
      </c>
      <c r="E49" s="99" t="s">
        <v>74</v>
      </c>
      <c r="F49" s="99" t="s">
        <v>91</v>
      </c>
      <c r="G49" s="99" t="s">
        <v>93</v>
      </c>
      <c r="H49" s="49"/>
      <c r="I49" s="4"/>
      <c r="J49" s="99" t="s">
        <v>73</v>
      </c>
      <c r="K49" s="99" t="s">
        <v>74</v>
      </c>
      <c r="L49" s="99" t="s">
        <v>91</v>
      </c>
      <c r="M49" s="99" t="s">
        <v>94</v>
      </c>
      <c r="N49" s="4"/>
      <c r="O49" s="4"/>
      <c r="P49" s="99" t="s">
        <v>73</v>
      </c>
      <c r="Q49" s="99" t="s">
        <v>74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74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84"/>
      <c r="E50" s="84"/>
      <c r="F50" s="84"/>
      <c r="G50" s="52">
        <f>D50+E50-F50</f>
        <v>0</v>
      </c>
      <c r="H50" s="49"/>
      <c r="I50" s="4"/>
      <c r="J50" s="84"/>
      <c r="K50" s="84"/>
      <c r="L50" s="84"/>
      <c r="M50" s="52">
        <f>J50+K50-L50</f>
        <v>0</v>
      </c>
      <c r="N50" s="4"/>
      <c r="O50" s="4"/>
      <c r="P50" s="84"/>
      <c r="Q50" s="84"/>
      <c r="R50" s="84"/>
      <c r="S50" s="52">
        <f>P50+Q50-R50</f>
        <v>0</v>
      </c>
      <c r="T50" s="4"/>
      <c r="U50" s="4"/>
      <c r="V50" s="84"/>
      <c r="W50" s="84"/>
      <c r="X50" s="84"/>
      <c r="Y50" s="52">
        <f>V50+W50-X50</f>
        <v>0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84">
        <v>1484.3</v>
      </c>
      <c r="E51" s="84">
        <f>114.25+84+4685.2</f>
        <v>4883.45</v>
      </c>
      <c r="F51" s="84">
        <f>57.6+1083.9</f>
        <v>1141.5</v>
      </c>
      <c r="G51" s="52">
        <f t="shared" ref="G51:G54" si="24">D51+E51-F51</f>
        <v>5226.25</v>
      </c>
      <c r="H51" s="49"/>
      <c r="I51" s="4"/>
      <c r="J51" s="84">
        <v>509</v>
      </c>
      <c r="K51" s="84">
        <v>80</v>
      </c>
      <c r="L51" s="84"/>
      <c r="M51" s="52">
        <f t="shared" ref="M51:M54" si="25">J51+K51-L51</f>
        <v>589</v>
      </c>
      <c r="N51" s="4"/>
      <c r="O51" s="4"/>
      <c r="P51" s="84">
        <f>449.49+4776.75</f>
        <v>5226.24</v>
      </c>
      <c r="Q51" s="84">
        <f>122.41+19.6+26.16</f>
        <v>168.17</v>
      </c>
      <c r="R51" s="84">
        <f>449.49+4722.99</f>
        <v>5172.4799999999996</v>
      </c>
      <c r="S51" s="52">
        <f t="shared" ref="S51:S54" si="26">P51+Q51-R51</f>
        <v>221.93000000000029</v>
      </c>
      <c r="T51" s="4"/>
      <c r="U51" s="4"/>
      <c r="V51" s="84">
        <v>221.9</v>
      </c>
      <c r="W51" s="84">
        <v>90</v>
      </c>
      <c r="X51" s="84"/>
      <c r="Y51" s="52">
        <f t="shared" ref="Y51:Y54" si="27">V51+W51-X51</f>
        <v>311.89999999999998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72</v>
      </c>
      <c r="D52" s="84">
        <v>229</v>
      </c>
      <c r="E52" s="84">
        <v>1403.9</v>
      </c>
      <c r="F52" s="84">
        <v>1487.5</v>
      </c>
      <c r="G52" s="52">
        <f t="shared" si="24"/>
        <v>145.40000000000009</v>
      </c>
      <c r="H52" s="49"/>
      <c r="I52" s="4"/>
      <c r="J52" s="84">
        <v>187.5</v>
      </c>
      <c r="K52" s="84">
        <v>1432</v>
      </c>
      <c r="L52" s="84">
        <v>1095</v>
      </c>
      <c r="M52" s="52">
        <f t="shared" si="25"/>
        <v>524.5</v>
      </c>
      <c r="N52" s="4"/>
      <c r="O52" s="4"/>
      <c r="P52" s="84">
        <v>145.46</v>
      </c>
      <c r="Q52" s="84">
        <v>1215.17</v>
      </c>
      <c r="R52" s="84">
        <v>537.85</v>
      </c>
      <c r="S52" s="52">
        <f t="shared" si="26"/>
        <v>822.78000000000009</v>
      </c>
      <c r="T52" s="4"/>
      <c r="U52" s="4"/>
      <c r="V52" s="84">
        <v>822.8</v>
      </c>
      <c r="W52" s="84">
        <v>1385</v>
      </c>
      <c r="X52" s="84">
        <v>1382</v>
      </c>
      <c r="Y52" s="52">
        <f t="shared" si="27"/>
        <v>825.80000000000018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4">
        <v>109.6</v>
      </c>
      <c r="E53" s="84"/>
      <c r="F53" s="84"/>
      <c r="G53" s="52">
        <f t="shared" si="24"/>
        <v>109.6</v>
      </c>
      <c r="H53" s="49"/>
      <c r="I53" s="4"/>
      <c r="J53" s="84">
        <v>109.6</v>
      </c>
      <c r="K53" s="84"/>
      <c r="L53" s="84"/>
      <c r="M53" s="52">
        <f t="shared" si="25"/>
        <v>109.6</v>
      </c>
      <c r="N53" s="4"/>
      <c r="O53" s="4"/>
      <c r="P53" s="84">
        <v>109.59</v>
      </c>
      <c r="Q53" s="84">
        <v>0</v>
      </c>
      <c r="R53" s="84">
        <v>0</v>
      </c>
      <c r="S53" s="52">
        <f t="shared" si="26"/>
        <v>109.59</v>
      </c>
      <c r="T53" s="4"/>
      <c r="U53" s="4"/>
      <c r="V53" s="84">
        <v>109.6</v>
      </c>
      <c r="W53" s="84"/>
      <c r="X53" s="84"/>
      <c r="Y53" s="52">
        <f t="shared" si="27"/>
        <v>109.6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2" t="s">
        <v>89</v>
      </c>
      <c r="D54" s="84">
        <v>340.9</v>
      </c>
      <c r="E54" s="84">
        <v>1265.4000000000001</v>
      </c>
      <c r="F54" s="84">
        <v>1206.5999999999999</v>
      </c>
      <c r="G54" s="52">
        <f t="shared" si="24"/>
        <v>399.70000000000027</v>
      </c>
      <c r="H54" s="49"/>
      <c r="I54" s="4"/>
      <c r="J54" s="84">
        <v>527.9</v>
      </c>
      <c r="K54" s="84">
        <v>1286</v>
      </c>
      <c r="L54" s="84">
        <v>1600</v>
      </c>
      <c r="M54" s="52">
        <f t="shared" si="25"/>
        <v>213.90000000000009</v>
      </c>
      <c r="N54" s="4"/>
      <c r="O54" s="4"/>
      <c r="P54" s="84">
        <v>399.66</v>
      </c>
      <c r="Q54" s="84">
        <v>625.37</v>
      </c>
      <c r="R54" s="84">
        <v>514.86</v>
      </c>
      <c r="S54" s="52">
        <f t="shared" si="26"/>
        <v>510.16999999999996</v>
      </c>
      <c r="T54" s="4"/>
      <c r="U54" s="4"/>
      <c r="V54" s="84">
        <v>510.2</v>
      </c>
      <c r="W54" s="84">
        <v>1184</v>
      </c>
      <c r="X54" s="84">
        <v>1300</v>
      </c>
      <c r="Y54" s="52">
        <f t="shared" si="27"/>
        <v>394.20000000000005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75</v>
      </c>
      <c r="D56" s="99" t="s">
        <v>76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5">
        <v>200.8</v>
      </c>
      <c r="E57" s="85">
        <v>205</v>
      </c>
      <c r="F57" s="49"/>
      <c r="G57" s="49"/>
      <c r="H57" s="49"/>
      <c r="I57" s="50"/>
      <c r="J57" s="85">
        <v>204</v>
      </c>
      <c r="K57" s="49"/>
      <c r="L57" s="49"/>
      <c r="M57" s="49"/>
      <c r="N57" s="49"/>
      <c r="O57" s="50"/>
      <c r="P57" s="85">
        <v>196.8</v>
      </c>
      <c r="Q57" s="50"/>
      <c r="R57" s="50"/>
      <c r="S57" s="50"/>
      <c r="T57" s="50"/>
      <c r="U57" s="50"/>
      <c r="V57" s="85">
        <v>205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153"/>
      <c r="W59" s="153"/>
      <c r="X59" s="153"/>
      <c r="Y59" s="153"/>
      <c r="Z59" s="153"/>
      <c r="AA59" s="153"/>
      <c r="AB59" s="154"/>
      <c r="AC59" s="4"/>
      <c r="AD59" s="4"/>
    </row>
    <row r="60" spans="1:30" x14ac:dyDescent="0.25">
      <c r="A60" s="5"/>
      <c r="B60" s="120" t="s">
        <v>105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4"/>
      <c r="AD60" s="4"/>
    </row>
    <row r="61" spans="1:30" x14ac:dyDescent="0.25">
      <c r="A61" s="5"/>
      <c r="B61" s="196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21"/>
      <c r="W61" s="121"/>
      <c r="X61" s="121"/>
      <c r="Y61" s="121"/>
      <c r="Z61" s="121"/>
      <c r="AA61" s="121"/>
      <c r="AB61" s="122"/>
      <c r="AC61" s="4"/>
      <c r="AD61" s="4"/>
    </row>
    <row r="62" spans="1:30" x14ac:dyDescent="0.25">
      <c r="A62" s="5"/>
      <c r="B62" s="196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21"/>
      <c r="W62" s="121"/>
      <c r="X62" s="121"/>
      <c r="Y62" s="121"/>
      <c r="Z62" s="121"/>
      <c r="AA62" s="121"/>
      <c r="AB62" s="122"/>
      <c r="AC62" s="4"/>
      <c r="AD62" s="4"/>
    </row>
    <row r="63" spans="1:30" x14ac:dyDescent="0.25">
      <c r="A63" s="5"/>
      <c r="B63" s="196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21"/>
      <c r="W63" s="121"/>
      <c r="X63" s="121"/>
      <c r="Y63" s="121"/>
      <c r="Z63" s="121"/>
      <c r="AA63" s="121"/>
      <c r="AB63" s="122"/>
      <c r="AC63" s="4"/>
      <c r="AD63" s="4"/>
    </row>
    <row r="64" spans="1:30" x14ac:dyDescent="0.25">
      <c r="A64" s="5"/>
      <c r="B64" s="158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21"/>
      <c r="W64" s="121"/>
      <c r="X64" s="121"/>
      <c r="Y64" s="121"/>
      <c r="Z64" s="121"/>
      <c r="AA64" s="121"/>
      <c r="AB64" s="122"/>
      <c r="AC64" s="4"/>
      <c r="AD64" s="4"/>
    </row>
    <row r="65" spans="1:30" x14ac:dyDescent="0.25">
      <c r="A65" s="5"/>
      <c r="B65" s="158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21"/>
      <c r="W65" s="121"/>
      <c r="X65" s="121"/>
      <c r="Y65" s="121"/>
      <c r="Z65" s="121"/>
      <c r="AA65" s="121"/>
      <c r="AB65" s="122"/>
      <c r="AC65" s="4"/>
      <c r="AD65" s="4"/>
    </row>
    <row r="66" spans="1:30" x14ac:dyDescent="0.25">
      <c r="A66" s="5"/>
      <c r="B66" s="158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21"/>
      <c r="W66" s="121"/>
      <c r="X66" s="121"/>
      <c r="Y66" s="121"/>
      <c r="Z66" s="121"/>
      <c r="AA66" s="121"/>
      <c r="AB66" s="122"/>
      <c r="AC66" s="4"/>
      <c r="AD66" s="4"/>
    </row>
    <row r="67" spans="1:30" x14ac:dyDescent="0.25">
      <c r="A67" s="5"/>
      <c r="B67" s="158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21"/>
      <c r="W67" s="121"/>
      <c r="X67" s="121"/>
      <c r="Y67" s="121"/>
      <c r="Z67" s="121"/>
      <c r="AA67" s="121"/>
      <c r="AB67" s="122"/>
      <c r="AC67" s="4"/>
      <c r="AD67" s="4"/>
    </row>
    <row r="68" spans="1:30" x14ac:dyDescent="0.25">
      <c r="A68" s="5"/>
      <c r="B68" s="158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21"/>
      <c r="W68" s="121"/>
      <c r="X68" s="121"/>
      <c r="Y68" s="121"/>
      <c r="Z68" s="121"/>
      <c r="AA68" s="121"/>
      <c r="AB68" s="122"/>
      <c r="AC68" s="4"/>
      <c r="AD68" s="4"/>
    </row>
    <row r="69" spans="1:30" x14ac:dyDescent="0.25">
      <c r="A69" s="5"/>
      <c r="B69" s="158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21"/>
      <c r="W69" s="121"/>
      <c r="X69" s="121"/>
      <c r="Y69" s="121"/>
      <c r="Z69" s="121"/>
      <c r="AA69" s="121"/>
      <c r="AB69" s="122"/>
      <c r="AC69" s="4"/>
      <c r="AD69" s="4"/>
    </row>
    <row r="70" spans="1:30" x14ac:dyDescent="0.25">
      <c r="A70" s="5"/>
      <c r="B70" s="158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21"/>
      <c r="W70" s="121"/>
      <c r="X70" s="121"/>
      <c r="Y70" s="121"/>
      <c r="Z70" s="121"/>
      <c r="AA70" s="121"/>
      <c r="AB70" s="122"/>
      <c r="AC70" s="4"/>
      <c r="AD70" s="4"/>
    </row>
    <row r="71" spans="1:30" x14ac:dyDescent="0.25">
      <c r="A71" s="5"/>
      <c r="B71" s="158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21"/>
      <c r="W71" s="121"/>
      <c r="X71" s="121"/>
      <c r="Y71" s="121"/>
      <c r="Z71" s="121"/>
      <c r="AA71" s="121"/>
      <c r="AB71" s="122"/>
      <c r="AC71" s="4"/>
      <c r="AD71" s="4"/>
    </row>
    <row r="72" spans="1:30" x14ac:dyDescent="0.25">
      <c r="A72" s="5"/>
      <c r="B72" s="158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21"/>
      <c r="W72" s="121"/>
      <c r="X72" s="121"/>
      <c r="Y72" s="121"/>
      <c r="Z72" s="121"/>
      <c r="AA72" s="121"/>
      <c r="AB72" s="122"/>
      <c r="AC72" s="4"/>
      <c r="AD72" s="4"/>
    </row>
    <row r="73" spans="1:30" x14ac:dyDescent="0.25">
      <c r="A73" s="5"/>
      <c r="B73" s="158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21"/>
      <c r="W73" s="121"/>
      <c r="X73" s="121"/>
      <c r="Y73" s="121"/>
      <c r="Z73" s="121"/>
      <c r="AA73" s="121"/>
      <c r="AB73" s="122"/>
      <c r="AC73" s="4"/>
      <c r="AD73" s="4"/>
    </row>
    <row r="74" spans="1:30" x14ac:dyDescent="0.25">
      <c r="A74" s="5"/>
      <c r="B74" s="158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21"/>
      <c r="W74" s="121"/>
      <c r="X74" s="121"/>
      <c r="Y74" s="121"/>
      <c r="Z74" s="121"/>
      <c r="AA74" s="121"/>
      <c r="AB74" s="122"/>
      <c r="AC74" s="4"/>
      <c r="AD74" s="4"/>
    </row>
    <row r="75" spans="1:30" x14ac:dyDescent="0.25">
      <c r="A75" s="5"/>
      <c r="B75" s="158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21"/>
      <c r="W75" s="121"/>
      <c r="X75" s="121"/>
      <c r="Y75" s="121"/>
      <c r="Z75" s="121"/>
      <c r="AA75" s="121"/>
      <c r="AB75" s="122"/>
      <c r="AC75" s="4"/>
      <c r="AD75" s="4"/>
    </row>
    <row r="76" spans="1:30" x14ac:dyDescent="0.25">
      <c r="A76" s="5"/>
      <c r="B76" s="158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21"/>
      <c r="W76" s="121"/>
      <c r="X76" s="121"/>
      <c r="Y76" s="121"/>
      <c r="Z76" s="121"/>
      <c r="AA76" s="121"/>
      <c r="AB76" s="122"/>
      <c r="AC76" s="4"/>
      <c r="AD76" s="4"/>
    </row>
    <row r="77" spans="1:30" x14ac:dyDescent="0.25">
      <c r="A77" s="5"/>
      <c r="B77" s="158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21"/>
      <c r="W77" s="121"/>
      <c r="X77" s="121"/>
      <c r="Y77" s="121"/>
      <c r="Z77" s="121"/>
      <c r="AA77" s="121"/>
      <c r="AB77" s="122"/>
      <c r="AC77" s="4"/>
      <c r="AD77" s="4"/>
    </row>
    <row r="78" spans="1:30" x14ac:dyDescent="0.25">
      <c r="A78" s="5"/>
      <c r="B78" s="158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21"/>
      <c r="W78" s="121"/>
      <c r="X78" s="121"/>
      <c r="Y78" s="121"/>
      <c r="Z78" s="121"/>
      <c r="AA78" s="121"/>
      <c r="AB78" s="122"/>
      <c r="AC78" s="4"/>
      <c r="AD78" s="4"/>
    </row>
    <row r="79" spans="1:30" x14ac:dyDescent="0.25">
      <c r="A79" s="5"/>
      <c r="B79" s="158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21"/>
      <c r="W79" s="121"/>
      <c r="X79" s="121"/>
      <c r="Y79" s="121"/>
      <c r="Z79" s="121"/>
      <c r="AA79" s="121"/>
      <c r="AB79" s="122"/>
      <c r="AC79" s="4"/>
      <c r="AD79" s="4"/>
    </row>
    <row r="80" spans="1:30" x14ac:dyDescent="0.25">
      <c r="A80" s="5"/>
      <c r="B80" s="158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21"/>
      <c r="W80" s="121"/>
      <c r="X80" s="121"/>
      <c r="Y80" s="121"/>
      <c r="Z80" s="121"/>
      <c r="AA80" s="121"/>
      <c r="AB80" s="122"/>
      <c r="AC80" s="4"/>
      <c r="AD80" s="4"/>
    </row>
    <row r="81" spans="1:30" x14ac:dyDescent="0.25">
      <c r="A81" s="5"/>
      <c r="B81" s="158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21"/>
      <c r="W81" s="121"/>
      <c r="X81" s="121"/>
      <c r="Y81" s="121"/>
      <c r="Z81" s="121"/>
      <c r="AA81" s="121"/>
      <c r="AB81" s="122"/>
      <c r="AC81" s="4"/>
      <c r="AD81" s="4"/>
    </row>
    <row r="82" spans="1:30" x14ac:dyDescent="0.25">
      <c r="A82" s="5"/>
      <c r="B82" s="196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21"/>
      <c r="W82" s="121"/>
      <c r="X82" s="121"/>
      <c r="Y82" s="121"/>
      <c r="Z82" s="121"/>
      <c r="AA82" s="121"/>
      <c r="AB82" s="122"/>
      <c r="AC82" s="4"/>
      <c r="AD82" s="4"/>
    </row>
    <row r="83" spans="1:30" x14ac:dyDescent="0.25">
      <c r="A83" s="5"/>
      <c r="B83" s="123"/>
      <c r="C83" s="91"/>
      <c r="D83" s="91"/>
      <c r="E83" s="91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21"/>
      <c r="W83" s="121"/>
      <c r="X83" s="121"/>
      <c r="Y83" s="121"/>
      <c r="Z83" s="121"/>
      <c r="AA83" s="121"/>
      <c r="AB83" s="122"/>
      <c r="AC83" s="4"/>
      <c r="AD83" s="4"/>
    </row>
    <row r="84" spans="1:30" x14ac:dyDescent="0.25">
      <c r="A84" s="5"/>
      <c r="B84" s="142"/>
      <c r="C84" s="139"/>
      <c r="D84" s="2"/>
      <c r="E84" s="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21"/>
      <c r="W84" s="121"/>
      <c r="X84" s="121"/>
      <c r="Y84" s="121"/>
      <c r="Z84" s="121"/>
      <c r="AA84" s="121"/>
      <c r="AB84" s="122"/>
      <c r="AC84" s="4"/>
      <c r="AD84" s="4"/>
    </row>
    <row r="85" spans="1:30" x14ac:dyDescent="0.25">
      <c r="A85" s="5"/>
      <c r="B85" s="123"/>
      <c r="C85" s="124"/>
      <c r="D85" s="2"/>
      <c r="E85" s="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21"/>
      <c r="W85" s="121"/>
      <c r="X85" s="121"/>
      <c r="Y85" s="121"/>
      <c r="Z85" s="121"/>
      <c r="AA85" s="121"/>
      <c r="AB85" s="122"/>
      <c r="AC85" s="4"/>
      <c r="AD85" s="4"/>
    </row>
    <row r="86" spans="1:30" x14ac:dyDescent="0.25">
      <c r="A86" s="5"/>
      <c r="B86" s="123"/>
      <c r="C86" s="124"/>
      <c r="D86" s="2"/>
      <c r="E86" s="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21"/>
      <c r="W86" s="121"/>
      <c r="X86" s="121"/>
      <c r="Y86" s="121"/>
      <c r="Z86" s="121"/>
      <c r="AA86" s="121"/>
      <c r="AB86" s="122"/>
      <c r="AC86" s="4"/>
      <c r="AD86" s="4"/>
    </row>
    <row r="87" spans="1:30" x14ac:dyDescent="0.25">
      <c r="A87" s="5"/>
      <c r="B87" s="133"/>
      <c r="C87" s="134"/>
      <c r="D87" s="135"/>
      <c r="E87" s="135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55"/>
      <c r="W87" s="155"/>
      <c r="X87" s="155"/>
      <c r="Y87" s="155"/>
      <c r="Z87" s="155"/>
      <c r="AA87" s="155"/>
      <c r="AB87" s="156"/>
      <c r="AC87" s="4"/>
      <c r="AD87" s="4"/>
    </row>
    <row r="88" spans="1:30" x14ac:dyDescent="0.25">
      <c r="A88" s="87"/>
      <c r="B88" s="137"/>
      <c r="C88" s="136"/>
      <c r="D88" s="137"/>
      <c r="E88" s="137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7"/>
      <c r="C89" s="136"/>
      <c r="D89" s="137"/>
      <c r="E89" s="137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81</v>
      </c>
      <c r="C91" s="119">
        <v>44098</v>
      </c>
      <c r="D91" s="53" t="s">
        <v>77</v>
      </c>
      <c r="E91" s="194" t="s">
        <v>109</v>
      </c>
      <c r="F91" s="194"/>
      <c r="G91" s="194"/>
      <c r="H91" s="53"/>
      <c r="I91" s="53" t="s">
        <v>78</v>
      </c>
      <c r="J91" s="195" t="s">
        <v>108</v>
      </c>
      <c r="K91" s="195"/>
      <c r="L91" s="195"/>
      <c r="M91" s="195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80</v>
      </c>
      <c r="E93" s="55"/>
      <c r="F93" s="55"/>
      <c r="G93" s="55"/>
      <c r="H93" s="53"/>
      <c r="I93" s="53" t="s">
        <v>80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U13:U14"/>
    <mergeCell ref="P25:U25"/>
    <mergeCell ref="P26:R26"/>
    <mergeCell ref="S26:S27"/>
    <mergeCell ref="T26:T27"/>
    <mergeCell ref="U26:U27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2020-09-30T11:05:21Z</cp:lastPrinted>
  <dcterms:created xsi:type="dcterms:W3CDTF">2017-02-23T12:10:09Z</dcterms:created>
  <dcterms:modified xsi:type="dcterms:W3CDTF">2020-10-08T10:50:18Z</dcterms:modified>
</cp:coreProperties>
</file>