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S:\Odbor ekonomiky\Interní dokumenty OE\Rozpočet, rozbory, závěrečný účet\Střednědobý výhled rozpočtu SMCH a Organizací\SVR 2027-2028 ŠKOLY a PO + NR 2026\NR 2026\"/>
    </mc:Choice>
  </mc:AlternateContent>
  <xr:revisionPtr revIDLastSave="0" documentId="13_ncr:1_{FF108875-A858-4831-931F-77035E6B921A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R 2026" sheetId="3" r:id="rId1"/>
  </sheets>
  <definedNames>
    <definedName name="_xlnm.Print_Area" localSheetId="0">'NR 2026'!$A$1:$AC$95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64" i="3" l="1"/>
  <c r="V39" i="3"/>
  <c r="V30" i="3"/>
  <c r="V36" i="3"/>
  <c r="V34" i="3"/>
  <c r="AB69" i="3" l="1"/>
  <c r="Y67" i="3"/>
  <c r="Y76" i="3" s="1"/>
  <c r="V16" i="3"/>
  <c r="V17" i="3"/>
  <c r="V18" i="3"/>
  <c r="V32" i="3"/>
  <c r="E39" i="3" l="1"/>
  <c r="D39" i="3"/>
  <c r="D30" i="3"/>
  <c r="D32" i="3"/>
  <c r="E34" i="3"/>
  <c r="F33" i="3"/>
  <c r="E32" i="3"/>
  <c r="E36" i="3"/>
  <c r="E35" i="3"/>
  <c r="E33" i="3" s="1"/>
  <c r="E30" i="3"/>
  <c r="X52" i="3"/>
  <c r="X51" i="3" s="1"/>
  <c r="W52" i="3"/>
  <c r="W36" i="3"/>
  <c r="W19" i="3"/>
  <c r="W39" i="3"/>
  <c r="W34" i="3"/>
  <c r="Q19" i="3"/>
  <c r="V35" i="3"/>
  <c r="V51" i="3"/>
  <c r="P51" i="3"/>
  <c r="W55" i="3"/>
  <c r="F39" i="3"/>
  <c r="W51" i="3" l="1"/>
  <c r="Q30" i="3" l="1"/>
  <c r="Q34" i="3"/>
  <c r="R39" i="3" l="1"/>
  <c r="V33" i="3"/>
  <c r="D36" i="3" l="1"/>
  <c r="D34" i="3"/>
  <c r="G34" i="3" s="1"/>
  <c r="F15" i="3"/>
  <c r="F22" i="3"/>
  <c r="G22" i="3" s="1"/>
  <c r="E19" i="3"/>
  <c r="G21" i="3"/>
  <c r="I21" i="3" s="1"/>
  <c r="G20" i="3"/>
  <c r="E51" i="3"/>
  <c r="F51" i="3"/>
  <c r="D51" i="3"/>
  <c r="Q39" i="3"/>
  <c r="Q32" i="3"/>
  <c r="Q36" i="3"/>
  <c r="Q35" i="3"/>
  <c r="Q33" i="3" s="1"/>
  <c r="R33" i="3"/>
  <c r="V45" i="3"/>
  <c r="P45" i="3"/>
  <c r="J45" i="3"/>
  <c r="D45" i="3"/>
  <c r="G52" i="3"/>
  <c r="Y52" i="3"/>
  <c r="S52" i="3"/>
  <c r="Q51" i="3"/>
  <c r="R51" i="3"/>
  <c r="K51" i="3"/>
  <c r="M53" i="3"/>
  <c r="M54" i="3"/>
  <c r="M55" i="3"/>
  <c r="M52" i="3"/>
  <c r="J51" i="3"/>
  <c r="L51" i="3"/>
  <c r="G51" i="3" l="1"/>
  <c r="M51" i="3"/>
  <c r="Z33" i="3" l="1"/>
  <c r="W33" i="3"/>
  <c r="W40" i="3" s="1"/>
  <c r="X33" i="3"/>
  <c r="V40" i="3"/>
  <c r="N33" i="3"/>
  <c r="K33" i="3"/>
  <c r="L33" i="3"/>
  <c r="J33" i="3"/>
  <c r="P39" i="3" l="1"/>
  <c r="P34" i="3"/>
  <c r="P33" i="3" s="1"/>
  <c r="P40" i="3" s="1"/>
  <c r="R22" i="3"/>
  <c r="P17" i="3"/>
  <c r="T15" i="3"/>
  <c r="T33" i="3"/>
  <c r="T40" i="3" s="1"/>
  <c r="R15" i="3"/>
  <c r="D17" i="3"/>
  <c r="D25" i="3" s="1"/>
  <c r="D33" i="3" l="1"/>
  <c r="D40" i="3" s="1"/>
  <c r="H33" i="3"/>
  <c r="Y36" i="3" l="1"/>
  <c r="S36" i="3"/>
  <c r="U36" i="3" s="1"/>
  <c r="M36" i="3"/>
  <c r="G36" i="3"/>
  <c r="Y18" i="3"/>
  <c r="S18" i="3"/>
  <c r="U18" i="3" s="1"/>
  <c r="M18" i="3"/>
  <c r="G18" i="3"/>
  <c r="O18" i="3" l="1"/>
  <c r="AA18" i="3"/>
  <c r="AA36" i="3"/>
  <c r="I18" i="3"/>
  <c r="I36" i="3"/>
  <c r="M35" i="3" l="1"/>
  <c r="Z25" i="3" l="1"/>
  <c r="X25" i="3"/>
  <c r="W25" i="3"/>
  <c r="W41" i="3" s="1"/>
  <c r="V25" i="3"/>
  <c r="T25" i="3"/>
  <c r="R25" i="3"/>
  <c r="Q25" i="3"/>
  <c r="P25" i="3"/>
  <c r="N25" i="3"/>
  <c r="L25" i="3"/>
  <c r="K25" i="3"/>
  <c r="J25" i="3"/>
  <c r="H25" i="3"/>
  <c r="F25" i="3"/>
  <c r="E25" i="3"/>
  <c r="G25" i="3" l="1"/>
  <c r="S25" i="3"/>
  <c r="Y25" i="3"/>
  <c r="M25" i="3"/>
  <c r="Y55" i="3"/>
  <c r="Y54" i="3"/>
  <c r="Y53" i="3"/>
  <c r="Y51" i="3"/>
  <c r="S55" i="3"/>
  <c r="S54" i="3"/>
  <c r="S53" i="3"/>
  <c r="G54" i="3"/>
  <c r="G55" i="3"/>
  <c r="Z40" i="3"/>
  <c r="X40" i="3"/>
  <c r="Y39" i="3"/>
  <c r="Y38" i="3"/>
  <c r="Y37" i="3"/>
  <c r="Y35" i="3"/>
  <c r="Y34" i="3"/>
  <c r="Y33" i="3"/>
  <c r="Y32" i="3"/>
  <c r="Y31" i="3"/>
  <c r="Y30" i="3"/>
  <c r="Y29" i="3"/>
  <c r="Y24" i="3"/>
  <c r="Y23" i="3"/>
  <c r="Y22" i="3"/>
  <c r="Y21" i="3"/>
  <c r="Y20" i="3"/>
  <c r="Y19" i="3"/>
  <c r="Y17" i="3"/>
  <c r="Y16" i="3"/>
  <c r="Y15" i="3"/>
  <c r="S15" i="3"/>
  <c r="U15" i="3" s="1"/>
  <c r="R40" i="3"/>
  <c r="Q40" i="3"/>
  <c r="S39" i="3"/>
  <c r="U39" i="3" s="1"/>
  <c r="S38" i="3"/>
  <c r="U38" i="3" s="1"/>
  <c r="S37" i="3"/>
  <c r="U37" i="3" s="1"/>
  <c r="S35" i="3"/>
  <c r="U35" i="3" s="1"/>
  <c r="S34" i="3"/>
  <c r="U34" i="3" s="1"/>
  <c r="S33" i="3"/>
  <c r="U33" i="3" s="1"/>
  <c r="S32" i="3"/>
  <c r="U32" i="3" s="1"/>
  <c r="S31" i="3"/>
  <c r="U31" i="3" s="1"/>
  <c r="S30" i="3"/>
  <c r="U30" i="3" s="1"/>
  <c r="S29" i="3"/>
  <c r="U29" i="3" s="1"/>
  <c r="S24" i="3"/>
  <c r="U24" i="3" s="1"/>
  <c r="S23" i="3"/>
  <c r="U23" i="3" s="1"/>
  <c r="S22" i="3"/>
  <c r="U22" i="3" s="1"/>
  <c r="S21" i="3"/>
  <c r="U21" i="3" s="1"/>
  <c r="S20" i="3"/>
  <c r="U20" i="3" s="1"/>
  <c r="S19" i="3"/>
  <c r="S17" i="3"/>
  <c r="U17" i="3" s="1"/>
  <c r="S16" i="3"/>
  <c r="U16" i="3" s="1"/>
  <c r="AA19" i="3" l="1"/>
  <c r="AA37" i="3"/>
  <c r="U19" i="3"/>
  <c r="S51" i="3"/>
  <c r="U25" i="3"/>
  <c r="AA23" i="3"/>
  <c r="AA30" i="3"/>
  <c r="AA34" i="3"/>
  <c r="AA38" i="3"/>
  <c r="AA15" i="3"/>
  <c r="AA20" i="3"/>
  <c r="AA24" i="3"/>
  <c r="AA31" i="3"/>
  <c r="AA35" i="3"/>
  <c r="AA39" i="3"/>
  <c r="AA16" i="3"/>
  <c r="AA21" i="3"/>
  <c r="AA32" i="3"/>
  <c r="AA17" i="3"/>
  <c r="AA22" i="3"/>
  <c r="AA29" i="3"/>
  <c r="AA33" i="3"/>
  <c r="Z41" i="3"/>
  <c r="X41" i="3"/>
  <c r="V41" i="3"/>
  <c r="Y40" i="3"/>
  <c r="R41" i="3"/>
  <c r="T41" i="3"/>
  <c r="S40" i="3"/>
  <c r="Q41" i="3"/>
  <c r="U40" i="3"/>
  <c r="P41" i="3"/>
  <c r="G29" i="3"/>
  <c r="G15" i="3"/>
  <c r="AA25" i="3" l="1"/>
  <c r="AA40" i="3"/>
  <c r="Y41" i="3"/>
  <c r="S41" i="3"/>
  <c r="U41" i="3"/>
  <c r="U42" i="3" s="1"/>
  <c r="G39" i="3"/>
  <c r="AA41" i="3" l="1"/>
  <c r="AA42" i="3" s="1"/>
  <c r="G19" i="3"/>
  <c r="G53" i="3" l="1"/>
  <c r="N40" i="3" l="1"/>
  <c r="L40" i="3"/>
  <c r="K40" i="3"/>
  <c r="M39" i="3"/>
  <c r="M38" i="3"/>
  <c r="M37" i="3"/>
  <c r="O35" i="3"/>
  <c r="AB35" i="3" s="1"/>
  <c r="M34" i="3"/>
  <c r="M33" i="3"/>
  <c r="M32" i="3"/>
  <c r="J40" i="3"/>
  <c r="M30" i="3"/>
  <c r="M29" i="3"/>
  <c r="M24" i="3"/>
  <c r="M23" i="3"/>
  <c r="M22" i="3"/>
  <c r="M21" i="3"/>
  <c r="M20" i="3"/>
  <c r="M19" i="3"/>
  <c r="M17" i="3"/>
  <c r="M16" i="3"/>
  <c r="M15" i="3"/>
  <c r="F40" i="3"/>
  <c r="E40" i="3"/>
  <c r="H40" i="3"/>
  <c r="I39" i="3"/>
  <c r="G30" i="3"/>
  <c r="G32" i="3"/>
  <c r="G33" i="3"/>
  <c r="G35" i="3"/>
  <c r="G37" i="3"/>
  <c r="G38" i="3"/>
  <c r="I29" i="3"/>
  <c r="G31" i="3"/>
  <c r="I15" i="3"/>
  <c r="G16" i="3"/>
  <c r="G17" i="3"/>
  <c r="I19" i="3"/>
  <c r="G23" i="3"/>
  <c r="G24" i="3"/>
  <c r="O21" i="3" l="1"/>
  <c r="AB21" i="3" s="1"/>
  <c r="O15" i="3"/>
  <c r="AB15" i="3" s="1"/>
  <c r="O22" i="3"/>
  <c r="AB22" i="3" s="1"/>
  <c r="O16" i="3"/>
  <c r="AB16" i="3" s="1"/>
  <c r="O23" i="3"/>
  <c r="AB23" i="3" s="1"/>
  <c r="O17" i="3"/>
  <c r="AB17" i="3" s="1"/>
  <c r="O24" i="3"/>
  <c r="AB24" i="3" s="1"/>
  <c r="O19" i="3"/>
  <c r="AB19" i="3" s="1"/>
  <c r="O20" i="3"/>
  <c r="AB20" i="3" s="1"/>
  <c r="M40" i="3"/>
  <c r="I22" i="3"/>
  <c r="I17" i="3"/>
  <c r="I35" i="3"/>
  <c r="I30" i="3"/>
  <c r="O39" i="3"/>
  <c r="AB39" i="3" s="1"/>
  <c r="I16" i="3"/>
  <c r="I38" i="3"/>
  <c r="I34" i="3"/>
  <c r="O36" i="3"/>
  <c r="AB36" i="3" s="1"/>
  <c r="I24" i="3"/>
  <c r="I20" i="3"/>
  <c r="I37" i="3"/>
  <c r="I33" i="3"/>
  <c r="O29" i="3"/>
  <c r="AB29" i="3" s="1"/>
  <c r="O33" i="3"/>
  <c r="AB33" i="3" s="1"/>
  <c r="I23" i="3"/>
  <c r="I31" i="3"/>
  <c r="I32" i="3"/>
  <c r="O30" i="3"/>
  <c r="AB30" i="3" s="1"/>
  <c r="O34" i="3"/>
  <c r="AB34" i="3" s="1"/>
  <c r="O38" i="3"/>
  <c r="AB38" i="3" s="1"/>
  <c r="O32" i="3"/>
  <c r="AB32" i="3" s="1"/>
  <c r="K41" i="3"/>
  <c r="E41" i="3"/>
  <c r="N41" i="3"/>
  <c r="J41" i="3"/>
  <c r="M31" i="3"/>
  <c r="O37" i="3"/>
  <c r="AB37" i="3" s="1"/>
  <c r="L41" i="3"/>
  <c r="H41" i="3"/>
  <c r="F41" i="3"/>
  <c r="I25" i="3" l="1"/>
  <c r="O25" i="3"/>
  <c r="AB25" i="3" s="1"/>
  <c r="I40" i="3"/>
  <c r="O31" i="3"/>
  <c r="AB31" i="3" s="1"/>
  <c r="D41" i="3"/>
  <c r="G40" i="3"/>
  <c r="G41" i="3" s="1"/>
  <c r="M41" i="3"/>
  <c r="O40" i="3" l="1"/>
  <c r="AB40" i="3" s="1"/>
  <c r="I41" i="3"/>
  <c r="I42" i="3" s="1"/>
  <c r="O41" i="3" l="1"/>
  <c r="AB41" i="3" l="1"/>
  <c r="O42" i="3"/>
  <c r="AB42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vbuchtova</author>
  </authors>
  <commentList>
    <comment ref="V16" authorId="0" shapeId="0" xr:uid="{8A89D4F0-D130-4DA8-93DA-36068543F226}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rozpuštěno UZB 704 , spoluúčast OP JAK II v částce 74,2 tisíc</t>
        </r>
      </text>
    </comment>
    <comment ref="D17" authorId="0" shapeId="0" xr:uid="{C27649FE-0989-47C7-B201-6DE226639ADE}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UZ 701,702,703,704
</t>
        </r>
      </text>
    </comment>
    <comment ref="V17" authorId="0" shapeId="0" xr:uid="{0E409494-8BC1-44C1-9F83-FE2AD54CB85D}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UZ 701 a UZ 706
</t>
        </r>
      </text>
    </comment>
    <comment ref="W19" authorId="0" shapeId="0" xr:uid="{21709138-A7B7-440A-BBF5-14AC60418807}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SR + personální kapacita + šablony </t>
        </r>
      </text>
    </comment>
    <comment ref="R22" authorId="0" shapeId="0" xr:uid="{7E586B01-D354-4337-B2E0-40683BD8C687}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úroky </t>
        </r>
      </text>
    </comment>
    <comment ref="V30" authorId="0" shapeId="0" xr:uid="{26006967-AD8F-4F94-8E28-19D3EE4B54EC}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- učebnice a učební pomůcky ONIV + 500 Z UZ 707
100 tis. menstruační vložky 
+50 tis. UZ 706</t>
        </r>
      </text>
    </comment>
    <comment ref="P33" authorId="0" shapeId="0" xr:uid="{12053D54-CD97-499D-97B8-961543157E9D}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UZ 701+702 : 124 tis.+70 tis</t>
        </r>
      </text>
    </comment>
    <comment ref="V33" authorId="0" shapeId="0" xr:uid="{997E980E-2991-49DE-9A53-B876EE33D38F}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UZ 701+702 : 124 tis.+70 tis</t>
        </r>
      </text>
    </comment>
    <comment ref="V34" authorId="0" shapeId="0" xr:uid="{E18C498D-2EC7-4B3B-86EE-7D77DB6071DE}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UZ 707 + UZ 701 130,3
</t>
        </r>
      </text>
    </comment>
    <comment ref="D36" authorId="0" shapeId="0" xr:uid="{9851CC1B-26D8-42CC-8A47-C9A97A562E8B}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SP+ZP z UZ 701 a 702</t>
        </r>
      </text>
    </comment>
    <comment ref="P36" authorId="0" shapeId="0" xr:uid="{0D301E41-3FF2-4605-91DA-06663245712B}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SP + ZP Z UZB 701+702
</t>
        </r>
      </text>
    </comment>
    <comment ref="V36" authorId="0" shapeId="0" xr:uid="{9BC93A80-CED4-40A1-8BA9-157ABB56DC35}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UZ 707 + UZ 701 44,1,</t>
        </r>
      </text>
    </comment>
    <comment ref="W36" authorId="0" shapeId="0" xr:uid="{6C9AB69A-FB72-41FD-895F-9A1B40EFF01F}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OP JAK, SR, OPST 
165,5, 9983,8, 344,1</t>
        </r>
      </text>
    </comment>
    <comment ref="Q39" authorId="0" shapeId="0" xr:uid="{E4E970DF-DB19-4232-B0F5-19CA37DC74FC}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úprava zaokrouhlování na výsledovku - nedá se přesně když na tísíce
</t>
        </r>
      </text>
    </comment>
    <comment ref="V39" authorId="0" shapeId="0" xr:uid="{ADB07209-86E3-42AA-A0D0-4B04D29215B3}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FKSP + ONIV vyjma 501 -ičebnice 
+FKSP z UZ 707 a  ONIV 558
UZ 701 FKSP 1,3</t>
        </r>
      </text>
    </comment>
    <comment ref="W39" authorId="0" shapeId="0" xr:uid="{3E29C9CA-442A-4347-95A1-C97D73F6EB5D}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OP JAK , OPST, SR
6,6, + 10,3 + 295,4</t>
        </r>
      </text>
    </comment>
    <comment ref="D41" authorId="0" shapeId="0" xr:uid="{B4F71529-6455-4D32-9C05-E269DE12D173}">
      <text>
        <r>
          <rPr>
            <b/>
            <sz val="9"/>
            <color indexed="81"/>
            <rFont val="Tahoma"/>
            <family val="2"/>
            <charset val="238"/>
          </rPr>
          <t xml:space="preserve">Adamová - 0,1 doplněno zkreslení zaokrouhlováním na tisíce </t>
        </r>
      </text>
    </comment>
    <comment ref="W45" authorId="0" shapeId="0" xr:uid="{7113BB47-6D05-4E4B-9FC7-00E4F51E23B4}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není zpracováno navýšení za výzvu 92 - učebny přírodních věd - zpracovává odbor internmího auditu
</t>
        </r>
      </text>
    </comment>
    <comment ref="Y61" authorId="0" shapeId="0" xr:uid="{8E010DEA-D3F8-420B-9C7B-50CCB80A9B88}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minimální mzdy 
+ dohody
</t>
        </r>
      </text>
    </comment>
    <comment ref="AD61" authorId="0" shapeId="0" xr:uid="{7D40949E-6080-4F57-8F1A-97870EEFC031}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minimální mzdy s odvody 
+ dohody</t>
        </r>
      </text>
    </comment>
    <comment ref="Y67" authorId="0" shapeId="0" xr:uid="{EB92466C-B9C1-4FDA-AD62-84809E5342F1}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po opravě odpočet z odměn, prvotní podklad s chybou
</t>
        </r>
      </text>
    </comment>
    <comment ref="AB69" authorId="0" shapeId="0" xr:uid="{E7437A8D-A954-4268-B9A4-DA3788DC9B96}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oprava výpočtu odměn po jednání 11.9.2025</t>
        </r>
      </text>
    </comment>
  </commentList>
</comments>
</file>

<file path=xl/sharedStrings.xml><?xml version="1.0" encoding="utf-8"?>
<sst xmlns="http://schemas.openxmlformats.org/spreadsheetml/2006/main" count="227" uniqueCount="137">
  <si>
    <t>1.</t>
  </si>
  <si>
    <t>2.</t>
  </si>
  <si>
    <t>Ostatní výnosy</t>
  </si>
  <si>
    <t>3.</t>
  </si>
  <si>
    <t>z toho: příjmy z pronájmu majetku</t>
  </si>
  <si>
    <t>4.</t>
  </si>
  <si>
    <t>příjmy z prodeje majetku</t>
  </si>
  <si>
    <t>5.</t>
  </si>
  <si>
    <t>Výnosy celkem</t>
  </si>
  <si>
    <t>6.</t>
  </si>
  <si>
    <t>Opravy a udržování</t>
  </si>
  <si>
    <t>7.</t>
  </si>
  <si>
    <t>Spotřeba materiálu</t>
  </si>
  <si>
    <t>8.</t>
  </si>
  <si>
    <t>Spotřeba energie</t>
  </si>
  <si>
    <t>9.</t>
  </si>
  <si>
    <t>Služby</t>
  </si>
  <si>
    <t>10.</t>
  </si>
  <si>
    <t>Mzdové náklady</t>
  </si>
  <si>
    <t>11.</t>
  </si>
  <si>
    <t>12.</t>
  </si>
  <si>
    <t>ostatní osobní náklady</t>
  </si>
  <si>
    <t>13.</t>
  </si>
  <si>
    <t>Povinné pojistné placené zaměstnavatelem</t>
  </si>
  <si>
    <t>14.</t>
  </si>
  <si>
    <t>Daně a poplatky</t>
  </si>
  <si>
    <t>15.</t>
  </si>
  <si>
    <t>Odpisy nehmotného a hmotného investičního majetku</t>
  </si>
  <si>
    <t>16.</t>
  </si>
  <si>
    <t>Ostatní náklady</t>
  </si>
  <si>
    <t>17.</t>
  </si>
  <si>
    <t>Náklady celkem</t>
  </si>
  <si>
    <t>18.</t>
  </si>
  <si>
    <t>19.</t>
  </si>
  <si>
    <t>20.</t>
  </si>
  <si>
    <t>21.</t>
  </si>
  <si>
    <t>ostatní</t>
  </si>
  <si>
    <t xml:space="preserve">Poř.č. řádku </t>
  </si>
  <si>
    <t>Ukazatel</t>
  </si>
  <si>
    <t>Hlavní činnost</t>
  </si>
  <si>
    <t>Doplňková činnost</t>
  </si>
  <si>
    <t>Celkem</t>
  </si>
  <si>
    <t>Název organizace:</t>
  </si>
  <si>
    <t>IČO:</t>
  </si>
  <si>
    <t>Sídlo:</t>
  </si>
  <si>
    <t>Zúčtování 403 do výnosů</t>
  </si>
  <si>
    <t>Zapojení fondů do výnosů</t>
  </si>
  <si>
    <t>23.</t>
  </si>
  <si>
    <t>25.</t>
  </si>
  <si>
    <t>26.</t>
  </si>
  <si>
    <t>Výsledek hospodaření</t>
  </si>
  <si>
    <t>Tržby  601-609</t>
  </si>
  <si>
    <t>Provozní dotace z jiných zdrojů (mimo SMCH)</t>
  </si>
  <si>
    <t>z příspěvku zřizovatele</t>
  </si>
  <si>
    <t>ostatních transferů</t>
  </si>
  <si>
    <t>z vlastních výnosů</t>
  </si>
  <si>
    <t>Výnosy</t>
  </si>
  <si>
    <t>zřizovatel</t>
  </si>
  <si>
    <t>vlastní činnost</t>
  </si>
  <si>
    <t>Organizace celkem</t>
  </si>
  <si>
    <t>VÝNOSY</t>
  </si>
  <si>
    <t>Výnosy Hl.Č. celkem</t>
  </si>
  <si>
    <t>Náklady Hl.Č celkem</t>
  </si>
  <si>
    <t>Čistý zisk/ztráta (bez provozního příspěvku zřizovatele)</t>
  </si>
  <si>
    <t>Výnosy DČ</t>
  </si>
  <si>
    <t>Náklady DČ</t>
  </si>
  <si>
    <t>NÁKLADY</t>
  </si>
  <si>
    <r>
      <t xml:space="preserve">NÁKLADY </t>
    </r>
    <r>
      <rPr>
        <sz val="11"/>
        <color theme="1"/>
        <rFont val="Calibri"/>
        <family val="2"/>
        <charset val="238"/>
        <scheme val="minor"/>
      </rPr>
      <t>(hrazené)</t>
    </r>
  </si>
  <si>
    <t>Stavy fondů</t>
  </si>
  <si>
    <t>Rezervní fond</t>
  </si>
  <si>
    <t>Fond investic</t>
  </si>
  <si>
    <t>Stav k 1.1.</t>
  </si>
  <si>
    <t>Příděl v roce</t>
  </si>
  <si>
    <t>Průměrný přepočtený stav zaměstnanců k:</t>
  </si>
  <si>
    <t>1.1.</t>
  </si>
  <si>
    <t xml:space="preserve">Sestavil: </t>
  </si>
  <si>
    <t xml:space="preserve">Schválil: </t>
  </si>
  <si>
    <t>Podpis:</t>
  </si>
  <si>
    <t>Dne:</t>
  </si>
  <si>
    <t>Stavy peněžitých fondů</t>
  </si>
  <si>
    <t>Odvod do rozpočtu zřizovatele</t>
  </si>
  <si>
    <t>z provozu</t>
  </si>
  <si>
    <t>Ostatní investiční transfery</t>
  </si>
  <si>
    <t>Investiční příspěvek/dotace</t>
  </si>
  <si>
    <t>Investiční příspěvek zřizovatel</t>
  </si>
  <si>
    <t>Fond odměn</t>
  </si>
  <si>
    <t>FKSP</t>
  </si>
  <si>
    <t>ostatní transfery</t>
  </si>
  <si>
    <t>Čerpání v roce</t>
  </si>
  <si>
    <t>Komentář k návrhu rozpočtu:</t>
  </si>
  <si>
    <t>Zůstatek k 31.12.</t>
  </si>
  <si>
    <t>Plán k 31.12.</t>
  </si>
  <si>
    <t>Plán k 1.1.</t>
  </si>
  <si>
    <t>31.12.</t>
  </si>
  <si>
    <t>Plán 31.12.</t>
  </si>
  <si>
    <t>Skutečnost k 30.6.</t>
  </si>
  <si>
    <t>Porovnání s rokem 2023</t>
  </si>
  <si>
    <t>Návrh rozpočtu 2026</t>
  </si>
  <si>
    <t>Skutečnost k 31.12.2024</t>
  </si>
  <si>
    <t>Skutečnost k 30.6.2025</t>
  </si>
  <si>
    <t>Upravený rozpočet (plán NaV 2025)</t>
  </si>
  <si>
    <t>3.a</t>
  </si>
  <si>
    <t>Účel. přísp. zřizovatele - nepedagogičtí pracovníci + ONIV - ÚZ 707</t>
  </si>
  <si>
    <t>Účel. Přísp. zřizovatele (s vyúčtováním) - granty OŠ, OE</t>
  </si>
  <si>
    <t>Neinvestiční příspěvek zřizovatele - zřizovatelské funkce</t>
  </si>
  <si>
    <t>v tom:  platy zaměstnanců</t>
  </si>
  <si>
    <t>- platy nepedagogických pracovníků</t>
  </si>
  <si>
    <t>- odvody sociálního a zdravotního pojištění</t>
  </si>
  <si>
    <t>- ostatní osobní nájklady (DPP, DPČ, aj.)</t>
  </si>
  <si>
    <t>- ONIV</t>
  </si>
  <si>
    <t>- příděl do FKSP</t>
  </si>
  <si>
    <t>b) výdaje na další vzdělávání pedagogických pracovníků</t>
  </si>
  <si>
    <t>c) výdaje školy na dopravu při akcích dle RVP</t>
  </si>
  <si>
    <t>d) ostatní</t>
  </si>
  <si>
    <t>a) výdaje na učební pomůcky, školní potřeby a učebnice</t>
  </si>
  <si>
    <t>- celá organizace</t>
  </si>
  <si>
    <t>Odměny</t>
  </si>
  <si>
    <t>Příplatky za vedení</t>
  </si>
  <si>
    <t>Plán 2026</t>
  </si>
  <si>
    <t>- z toho nepedagogiští pracovníci</t>
  </si>
  <si>
    <t>Limit mzdových prostředků (nepedagogičtí prac.)</t>
  </si>
  <si>
    <t>2026   - ÚZ 707 - nepedagogičtí pracovníci + ONIV</t>
  </si>
  <si>
    <t>Osobní příplatky</t>
  </si>
  <si>
    <t>Bc. Michaela Adamová</t>
  </si>
  <si>
    <t>Základní škola Chomutov, Březenecká 4679</t>
  </si>
  <si>
    <t>Březenecká 4679, Chomutov, 43004</t>
  </si>
  <si>
    <t xml:space="preserve">Navýšení rozpočtu na rok 2026 ve výši 1,34% </t>
  </si>
  <si>
    <r>
      <t xml:space="preserve">NÁKLADY </t>
    </r>
    <r>
      <rPr>
        <sz val="11"/>
        <rFont val="Calibri"/>
        <family val="2"/>
        <charset val="238"/>
        <scheme val="minor"/>
      </rPr>
      <t>(hrazené)</t>
    </r>
  </si>
  <si>
    <t xml:space="preserve">1. počítáno se snížením nákladů na energie díky úsporným opatřením provedeným v roce 2025 ( omezení průtoku vody u baterii, výměna většiny osvětlení, výměna regulátorů topení.) </t>
  </si>
  <si>
    <t>2. navýšení v ostatních službách a materiálu - aktualizace s přihlédnutím na skutečné čerpání k 6/2025, plus inflační faktor ( u vybraných položek)</t>
  </si>
  <si>
    <t>Ing. Vladimíra Milt Nováková</t>
  </si>
  <si>
    <t>Objem v tis. UZ 707</t>
  </si>
  <si>
    <t>Limit mzdových prostředků UZ 701</t>
  </si>
  <si>
    <t>Limit mzdových prostředků (OPST )</t>
  </si>
  <si>
    <t xml:space="preserve">Plán 2026 (návrh rozpočtu organizace) </t>
  </si>
  <si>
    <t>verze po 11.9.2025</t>
  </si>
  <si>
    <t>Odvod zřizovateli bez zpracované revize  auditem města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</si>
</sst>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#,##0.0_ ;[Red]\-#,##0.0\ "/>
    <numFmt numFmtId="166" formatCode="#,##0.00_ ;[Red]\-#,##0.00\ "/>
    <numFmt numFmtId="167" formatCode="0.0"/>
  </numFmts>
  <fonts count="3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rgb="FF363636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rgb="FF0070C0"/>
      <name val="Calibri"/>
      <family val="2"/>
      <charset val="238"/>
      <scheme val="minor"/>
    </font>
    <font>
      <b/>
      <sz val="14"/>
      <color rgb="FF0070C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1"/>
      <color theme="4" tint="-0.249977111117893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0" fontId="10" fillId="0" borderId="0"/>
    <xf numFmtId="9" fontId="20" fillId="0" borderId="0" applyFont="0" applyFill="0" applyBorder="0" applyAlignment="0" applyProtection="0"/>
  </cellStyleXfs>
  <cellXfs count="324">
    <xf numFmtId="0" fontId="0" fillId="0" borderId="0" xfId="0"/>
    <xf numFmtId="10" fontId="0" fillId="0" borderId="0" xfId="0" applyNumberFormat="1"/>
    <xf numFmtId="0" fontId="0" fillId="8" borderId="0" xfId="0" applyFill="1"/>
    <xf numFmtId="10" fontId="0" fillId="8" borderId="0" xfId="0" applyNumberFormat="1" applyFill="1"/>
    <xf numFmtId="0" fontId="3" fillId="8" borderId="0" xfId="0" applyFont="1" applyFill="1"/>
    <xf numFmtId="0" fontId="7" fillId="8" borderId="0" xfId="0" applyFont="1" applyFill="1"/>
    <xf numFmtId="0" fontId="1" fillId="4" borderId="30" xfId="0" applyFont="1" applyFill="1" applyBorder="1" applyAlignment="1">
      <alignment horizontal="center" vertical="center" wrapText="1"/>
    </xf>
    <xf numFmtId="0" fontId="1" fillId="14" borderId="34" xfId="0" applyFont="1" applyFill="1" applyBorder="1" applyAlignment="1">
      <alignment horizontal="center" vertical="center" wrapText="1"/>
    </xf>
    <xf numFmtId="0" fontId="1" fillId="14" borderId="19" xfId="0" applyFont="1" applyFill="1" applyBorder="1" applyAlignment="1">
      <alignment horizontal="center" vertical="center"/>
    </xf>
    <xf numFmtId="164" fontId="0" fillId="11" borderId="51" xfId="0" applyNumberFormat="1" applyFill="1" applyBorder="1" applyAlignment="1">
      <alignment horizontal="right"/>
    </xf>
    <xf numFmtId="164" fontId="0" fillId="11" borderId="9" xfId="0" applyNumberFormat="1" applyFill="1" applyBorder="1" applyAlignment="1">
      <alignment horizontal="right"/>
    </xf>
    <xf numFmtId="164" fontId="0" fillId="0" borderId="23" xfId="0" applyNumberFormat="1" applyBorder="1" applyAlignment="1">
      <alignment horizontal="right"/>
    </xf>
    <xf numFmtId="0" fontId="0" fillId="0" borderId="49" xfId="0" applyBorder="1" applyAlignment="1">
      <alignment horizontal="center"/>
    </xf>
    <xf numFmtId="164" fontId="0" fillId="11" borderId="1" xfId="0" applyNumberFormat="1" applyFill="1" applyBorder="1" applyAlignment="1">
      <alignment horizontal="right"/>
    </xf>
    <xf numFmtId="164" fontId="6" fillId="11" borderId="1" xfId="0" applyNumberFormat="1" applyFont="1" applyFill="1" applyBorder="1" applyAlignment="1">
      <alignment horizontal="right"/>
    </xf>
    <xf numFmtId="164" fontId="0" fillId="11" borderId="49" xfId="0" applyNumberFormat="1" applyFill="1" applyBorder="1" applyAlignment="1">
      <alignment horizontal="right"/>
    </xf>
    <xf numFmtId="164" fontId="6" fillId="11" borderId="49" xfId="0" applyNumberFormat="1" applyFont="1" applyFill="1" applyBorder="1" applyAlignment="1">
      <alignment horizontal="right"/>
    </xf>
    <xf numFmtId="0" fontId="0" fillId="0" borderId="11" xfId="0" applyBorder="1" applyAlignment="1">
      <alignment horizontal="center"/>
    </xf>
    <xf numFmtId="164" fontId="0" fillId="11" borderId="11" xfId="0" applyNumberFormat="1" applyFill="1" applyBorder="1" applyAlignment="1">
      <alignment horizontal="right"/>
    </xf>
    <xf numFmtId="164" fontId="0" fillId="11" borderId="44" xfId="0" applyNumberFormat="1" applyFill="1" applyBorder="1" applyAlignment="1">
      <alignment horizontal="right"/>
    </xf>
    <xf numFmtId="164" fontId="0" fillId="0" borderId="14" xfId="0" applyNumberForma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3" borderId="59" xfId="0" applyFont="1" applyFill="1" applyBorder="1"/>
    <xf numFmtId="0" fontId="0" fillId="14" borderId="58" xfId="0" applyFill="1" applyBorder="1" applyAlignment="1">
      <alignment horizontal="center"/>
    </xf>
    <xf numFmtId="0" fontId="1" fillId="14" borderId="59" xfId="0" applyFont="1" applyFill="1" applyBorder="1"/>
    <xf numFmtId="0" fontId="12" fillId="0" borderId="34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12" fillId="0" borderId="3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50" xfId="0" applyBorder="1"/>
    <xf numFmtId="0" fontId="7" fillId="0" borderId="50" xfId="0" applyFont="1" applyBorder="1"/>
    <xf numFmtId="0" fontId="7" fillId="0" borderId="50" xfId="0" applyFont="1" applyBorder="1" applyAlignment="1">
      <alignment horizontal="left" indent="5"/>
    </xf>
    <xf numFmtId="164" fontId="1" fillId="5" borderId="56" xfId="0" applyNumberFormat="1" applyFont="1" applyFill="1" applyBorder="1"/>
    <xf numFmtId="164" fontId="1" fillId="5" borderId="3" xfId="0" applyNumberFormat="1" applyFont="1" applyFill="1" applyBorder="1"/>
    <xf numFmtId="164" fontId="1" fillId="14" borderId="18" xfId="0" applyNumberFormat="1" applyFont="1" applyFill="1" applyBorder="1"/>
    <xf numFmtId="164" fontId="1" fillId="14" borderId="19" xfId="0" applyNumberFormat="1" applyFont="1" applyFill="1" applyBorder="1"/>
    <xf numFmtId="0" fontId="1" fillId="8" borderId="0" xfId="0" applyFont="1" applyFill="1" applyAlignment="1">
      <alignment horizontal="center"/>
    </xf>
    <xf numFmtId="0" fontId="1" fillId="8" borderId="0" xfId="0" applyFont="1" applyFill="1"/>
    <xf numFmtId="164" fontId="1" fillId="8" borderId="0" xfId="0" applyNumberFormat="1" applyFont="1" applyFill="1"/>
    <xf numFmtId="164" fontId="5" fillId="8" borderId="0" xfId="0" applyNumberFormat="1" applyFont="1" applyFill="1" applyAlignment="1">
      <alignment horizontal="right"/>
    </xf>
    <xf numFmtId="0" fontId="1" fillId="8" borderId="0" xfId="0" applyFont="1" applyFill="1" applyAlignment="1">
      <alignment horizontal="left"/>
    </xf>
    <xf numFmtId="0" fontId="1" fillId="13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164" fontId="0" fillId="10" borderId="49" xfId="0" applyNumberFormat="1" applyFill="1" applyBorder="1" applyAlignment="1" applyProtection="1">
      <alignment horizontal="right"/>
      <protection locked="0"/>
    </xf>
    <xf numFmtId="164" fontId="6" fillId="5" borderId="49" xfId="0" applyNumberFormat="1" applyFont="1" applyFill="1" applyBorder="1" applyAlignment="1" applyProtection="1">
      <alignment horizontal="right"/>
      <protection locked="0"/>
    </xf>
    <xf numFmtId="164" fontId="6" fillId="0" borderId="1" xfId="0" applyNumberFormat="1" applyFont="1" applyBorder="1" applyAlignment="1" applyProtection="1">
      <alignment horizontal="right"/>
      <protection locked="0"/>
    </xf>
    <xf numFmtId="164" fontId="0" fillId="0" borderId="8" xfId="0" applyNumberFormat="1" applyBorder="1" applyAlignment="1" applyProtection="1">
      <alignment horizontal="right"/>
      <protection locked="0"/>
    </xf>
    <xf numFmtId="164" fontId="0" fillId="0" borderId="43" xfId="0" applyNumberFormat="1" applyBorder="1" applyAlignment="1" applyProtection="1">
      <alignment horizontal="right"/>
      <protection locked="0"/>
    </xf>
    <xf numFmtId="164" fontId="0" fillId="0" borderId="23" xfId="0" applyNumberFormat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0" fontId="1" fillId="0" borderId="0" xfId="0" applyFont="1" applyAlignment="1" applyProtection="1">
      <alignment horizontal="left"/>
      <protection locked="0"/>
    </xf>
    <xf numFmtId="0" fontId="0" fillId="8" borderId="0" xfId="0" applyFill="1" applyAlignment="1">
      <alignment horizontal="center"/>
    </xf>
    <xf numFmtId="164" fontId="1" fillId="8" borderId="0" xfId="0" applyNumberFormat="1" applyFont="1" applyFill="1" applyAlignment="1">
      <alignment horizontal="center"/>
    </xf>
    <xf numFmtId="164" fontId="1" fillId="8" borderId="0" xfId="0" applyNumberFormat="1" applyFont="1" applyFill="1" applyProtection="1">
      <protection locked="0"/>
    </xf>
    <xf numFmtId="164" fontId="1" fillId="0" borderId="31" xfId="0" applyNumberFormat="1" applyFont="1" applyBorder="1" applyProtection="1">
      <protection locked="0"/>
    </xf>
    <xf numFmtId="164" fontId="13" fillId="14" borderId="34" xfId="0" applyNumberFormat="1" applyFont="1" applyFill="1" applyBorder="1" applyAlignment="1" applyProtection="1">
      <alignment horizontal="center" wrapText="1"/>
      <protection locked="0"/>
    </xf>
    <xf numFmtId="164" fontId="13" fillId="14" borderId="19" xfId="0" applyNumberFormat="1" applyFont="1" applyFill="1" applyBorder="1" applyAlignment="1">
      <alignment horizontal="center" wrapText="1"/>
    </xf>
    <xf numFmtId="164" fontId="1" fillId="0" borderId="48" xfId="0" applyNumberFormat="1" applyFont="1" applyBorder="1" applyProtection="1">
      <protection locked="0"/>
    </xf>
    <xf numFmtId="0" fontId="1" fillId="12" borderId="39" xfId="0" applyFont="1" applyFill="1" applyBorder="1" applyAlignment="1">
      <alignment horizontal="left"/>
    </xf>
    <xf numFmtId="0" fontId="1" fillId="12" borderId="12" xfId="0" applyFont="1" applyFill="1" applyBorder="1" applyAlignment="1">
      <alignment horizontal="left"/>
    </xf>
    <xf numFmtId="0" fontId="0" fillId="0" borderId="46" xfId="0" applyBorder="1"/>
    <xf numFmtId="0" fontId="1" fillId="5" borderId="41" xfId="0" applyFont="1" applyFill="1" applyBorder="1"/>
    <xf numFmtId="164" fontId="1" fillId="0" borderId="32" xfId="0" applyNumberFormat="1" applyFont="1" applyBorder="1" applyProtection="1">
      <protection locked="0"/>
    </xf>
    <xf numFmtId="164" fontId="1" fillId="0" borderId="20" xfId="0" applyNumberFormat="1" applyFont="1" applyBorder="1" applyProtection="1">
      <protection locked="0"/>
    </xf>
    <xf numFmtId="164" fontId="1" fillId="14" borderId="34" xfId="0" applyNumberFormat="1" applyFont="1" applyFill="1" applyBorder="1" applyProtection="1">
      <protection locked="0"/>
    </xf>
    <xf numFmtId="0" fontId="16" fillId="0" borderId="38" xfId="0" applyFont="1" applyBorder="1" applyAlignment="1">
      <alignment horizontal="center"/>
    </xf>
    <xf numFmtId="0" fontId="16" fillId="6" borderId="38" xfId="0" applyFont="1" applyFill="1" applyBorder="1" applyAlignment="1">
      <alignment horizontal="left"/>
    </xf>
    <xf numFmtId="165" fontId="16" fillId="6" borderId="38" xfId="0" applyNumberFormat="1" applyFont="1" applyFill="1" applyBorder="1"/>
    <xf numFmtId="0" fontId="2" fillId="0" borderId="41" xfId="0" applyFont="1" applyBorder="1" applyAlignment="1">
      <alignment horizontal="center"/>
    </xf>
    <xf numFmtId="0" fontId="2" fillId="0" borderId="41" xfId="0" applyFont="1" applyBorder="1"/>
    <xf numFmtId="164" fontId="5" fillId="14" borderId="34" xfId="0" applyNumberFormat="1" applyFont="1" applyFill="1" applyBorder="1" applyAlignment="1">
      <alignment horizontal="center"/>
    </xf>
    <xf numFmtId="164" fontId="5" fillId="14" borderId="18" xfId="0" applyNumberFormat="1" applyFont="1" applyFill="1" applyBorder="1"/>
    <xf numFmtId="0" fontId="2" fillId="14" borderId="18" xfId="0" applyFont="1" applyFill="1" applyBorder="1"/>
    <xf numFmtId="164" fontId="5" fillId="14" borderId="35" xfId="0" applyNumberFormat="1" applyFont="1" applyFill="1" applyBorder="1"/>
    <xf numFmtId="165" fontId="2" fillId="7" borderId="3" xfId="0" applyNumberFormat="1" applyFont="1" applyFill="1" applyBorder="1"/>
    <xf numFmtId="164" fontId="5" fillId="14" borderId="19" xfId="0" applyNumberFormat="1" applyFont="1" applyFill="1" applyBorder="1"/>
    <xf numFmtId="165" fontId="17" fillId="9" borderId="38" xfId="0" applyNumberFormat="1" applyFont="1" applyFill="1" applyBorder="1"/>
    <xf numFmtId="165" fontId="17" fillId="9" borderId="30" xfId="0" applyNumberFormat="1" applyFont="1" applyFill="1" applyBorder="1"/>
    <xf numFmtId="14" fontId="1" fillId="13" borderId="0" xfId="0" applyNumberFormat="1" applyFont="1" applyFill="1" applyAlignment="1" applyProtection="1">
      <alignment horizontal="left"/>
      <protection locked="0"/>
    </xf>
    <xf numFmtId="0" fontId="0" fillId="0" borderId="36" xfId="0" applyBorder="1"/>
    <xf numFmtId="0" fontId="0" fillId="10" borderId="50" xfId="0" applyFill="1" applyBorder="1"/>
    <xf numFmtId="0" fontId="7" fillId="5" borderId="50" xfId="0" applyFont="1" applyFill="1" applyBorder="1"/>
    <xf numFmtId="0" fontId="7" fillId="0" borderId="50" xfId="0" applyFont="1" applyBorder="1" applyAlignment="1">
      <alignment horizontal="left"/>
    </xf>
    <xf numFmtId="0" fontId="4" fillId="0" borderId="50" xfId="0" applyFont="1" applyBorder="1"/>
    <xf numFmtId="0" fontId="0" fillId="0" borderId="45" xfId="0" applyBorder="1" applyAlignment="1">
      <alignment horizontal="center"/>
    </xf>
    <xf numFmtId="0" fontId="0" fillId="0" borderId="6" xfId="0" applyBorder="1" applyAlignment="1">
      <alignment horizontal="left" indent="5"/>
    </xf>
    <xf numFmtId="0" fontId="8" fillId="0" borderId="1" xfId="0" applyFont="1" applyBorder="1"/>
    <xf numFmtId="0" fontId="11" fillId="0" borderId="8" xfId="2" applyFont="1" applyBorder="1"/>
    <xf numFmtId="0" fontId="11" fillId="0" borderId="52" xfId="0" applyFont="1" applyBorder="1"/>
    <xf numFmtId="0" fontId="11" fillId="0" borderId="52" xfId="2" applyFont="1" applyBorder="1"/>
    <xf numFmtId="0" fontId="11" fillId="8" borderId="0" xfId="0" applyFont="1" applyFill="1"/>
    <xf numFmtId="0" fontId="11" fillId="8" borderId="0" xfId="2" applyFont="1" applyFill="1"/>
    <xf numFmtId="0" fontId="1" fillId="8" borderId="0" xfId="0" applyFont="1" applyFill="1" applyAlignment="1" applyProtection="1">
      <alignment horizontal="left"/>
      <protection locked="0"/>
    </xf>
    <xf numFmtId="0" fontId="18" fillId="0" borderId="34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1" fillId="0" borderId="52" xfId="0" applyFont="1" applyBorder="1" applyAlignment="1" applyProtection="1">
      <alignment horizontal="left"/>
      <protection locked="0"/>
    </xf>
    <xf numFmtId="164" fontId="0" fillId="5" borderId="55" xfId="0" applyNumberFormat="1" applyFill="1" applyBorder="1" applyProtection="1">
      <protection locked="0"/>
    </xf>
    <xf numFmtId="10" fontId="7" fillId="0" borderId="23" xfId="0" applyNumberFormat="1" applyFont="1" applyBorder="1"/>
    <xf numFmtId="164" fontId="13" fillId="8" borderId="0" xfId="0" applyNumberFormat="1" applyFont="1" applyFill="1" applyAlignment="1">
      <alignment horizontal="center" vertical="center" wrapText="1"/>
    </xf>
    <xf numFmtId="164" fontId="1" fillId="8" borderId="0" xfId="0" applyNumberFormat="1" applyFont="1" applyFill="1" applyAlignment="1" applyProtection="1">
      <alignment horizontal="right"/>
      <protection locked="0"/>
    </xf>
    <xf numFmtId="10" fontId="7" fillId="0" borderId="14" xfId="0" applyNumberFormat="1" applyFont="1" applyBorder="1"/>
    <xf numFmtId="10" fontId="7" fillId="3" borderId="3" xfId="0" applyNumberFormat="1" applyFont="1" applyFill="1" applyBorder="1"/>
    <xf numFmtId="10" fontId="7" fillId="5" borderId="3" xfId="0" applyNumberFormat="1" applyFont="1" applyFill="1" applyBorder="1"/>
    <xf numFmtId="10" fontId="19" fillId="9" borderId="23" xfId="0" applyNumberFormat="1" applyFont="1" applyFill="1" applyBorder="1"/>
    <xf numFmtId="0" fontId="0" fillId="0" borderId="39" xfId="0" applyBorder="1"/>
    <xf numFmtId="0" fontId="0" fillId="0" borderId="40" xfId="0" applyBorder="1"/>
    <xf numFmtId="0" fontId="0" fillId="0" borderId="52" xfId="0" applyBorder="1"/>
    <xf numFmtId="0" fontId="0" fillId="0" borderId="10" xfId="0" applyBorder="1"/>
    <xf numFmtId="166" fontId="17" fillId="9" borderId="38" xfId="0" applyNumberFormat="1" applyFont="1" applyFill="1" applyBorder="1"/>
    <xf numFmtId="166" fontId="17" fillId="9" borderId="30" xfId="0" applyNumberFormat="1" applyFont="1" applyFill="1" applyBorder="1"/>
    <xf numFmtId="166" fontId="0" fillId="11" borderId="51" xfId="0" applyNumberFormat="1" applyFill="1" applyBorder="1" applyAlignment="1">
      <alignment horizontal="right"/>
    </xf>
    <xf numFmtId="166" fontId="0" fillId="11" borderId="9" xfId="0" applyNumberFormat="1" applyFill="1" applyBorder="1" applyAlignment="1">
      <alignment horizontal="right"/>
    </xf>
    <xf numFmtId="166" fontId="0" fillId="0" borderId="9" xfId="0" applyNumberFormat="1" applyBorder="1" applyAlignment="1" applyProtection="1">
      <alignment horizontal="right"/>
      <protection locked="0"/>
    </xf>
    <xf numFmtId="166" fontId="0" fillId="0" borderId="8" xfId="0" applyNumberFormat="1" applyBorder="1" applyAlignment="1" applyProtection="1">
      <alignment horizontal="right"/>
      <protection locked="0"/>
    </xf>
    <xf numFmtId="166" fontId="0" fillId="0" borderId="23" xfId="0" applyNumberFormat="1" applyBorder="1" applyAlignment="1" applyProtection="1">
      <alignment horizontal="right"/>
      <protection locked="0"/>
    </xf>
    <xf numFmtId="166" fontId="0" fillId="0" borderId="23" xfId="0" applyNumberFormat="1" applyBorder="1" applyAlignment="1">
      <alignment horizontal="right"/>
    </xf>
    <xf numFmtId="166" fontId="0" fillId="11" borderId="1" xfId="0" applyNumberFormat="1" applyFill="1" applyBorder="1" applyAlignment="1">
      <alignment horizontal="right"/>
    </xf>
    <xf numFmtId="166" fontId="0" fillId="0" borderId="43" xfId="0" applyNumberFormat="1" applyBorder="1" applyAlignment="1" applyProtection="1">
      <alignment horizontal="right"/>
      <protection locked="0"/>
    </xf>
    <xf numFmtId="166" fontId="0" fillId="2" borderId="23" xfId="0" applyNumberFormat="1" applyFill="1" applyBorder="1" applyAlignment="1" applyProtection="1">
      <alignment horizontal="right"/>
      <protection locked="0"/>
    </xf>
    <xf numFmtId="166" fontId="6" fillId="11" borderId="1" xfId="0" applyNumberFormat="1" applyFont="1" applyFill="1" applyBorder="1" applyAlignment="1">
      <alignment horizontal="right"/>
    </xf>
    <xf numFmtId="166" fontId="0" fillId="2" borderId="15" xfId="0" applyNumberFormat="1" applyFill="1" applyBorder="1" applyAlignment="1" applyProtection="1">
      <alignment horizontal="right"/>
      <protection locked="0"/>
    </xf>
    <xf numFmtId="166" fontId="0" fillId="11" borderId="49" xfId="0" applyNumberFormat="1" applyFill="1" applyBorder="1" applyAlignment="1">
      <alignment horizontal="right"/>
    </xf>
    <xf numFmtId="166" fontId="6" fillId="0" borderId="1" xfId="0" applyNumberFormat="1" applyFont="1" applyBorder="1" applyAlignment="1" applyProtection="1">
      <alignment horizontal="right"/>
      <protection locked="0"/>
    </xf>
    <xf numFmtId="166" fontId="6" fillId="11" borderId="49" xfId="0" applyNumberFormat="1" applyFont="1" applyFill="1" applyBorder="1" applyAlignment="1">
      <alignment horizontal="right"/>
    </xf>
    <xf numFmtId="166" fontId="0" fillId="0" borderId="1" xfId="0" applyNumberFormat="1" applyBorder="1" applyAlignment="1" applyProtection="1">
      <alignment horizontal="right"/>
      <protection locked="0"/>
    </xf>
    <xf numFmtId="166" fontId="0" fillId="0" borderId="15" xfId="0" applyNumberFormat="1" applyBorder="1" applyAlignment="1" applyProtection="1">
      <alignment horizontal="right"/>
      <protection locked="0"/>
    </xf>
    <xf numFmtId="166" fontId="0" fillId="11" borderId="11" xfId="0" applyNumberFormat="1" applyFill="1" applyBorder="1" applyAlignment="1">
      <alignment horizontal="right"/>
    </xf>
    <xf numFmtId="166" fontId="0" fillId="11" borderId="44" xfId="0" applyNumberFormat="1" applyFill="1" applyBorder="1" applyAlignment="1">
      <alignment horizontal="right"/>
    </xf>
    <xf numFmtId="166" fontId="0" fillId="0" borderId="44" xfId="0" applyNumberFormat="1" applyBorder="1" applyAlignment="1" applyProtection="1">
      <alignment horizontal="right"/>
      <protection locked="0"/>
    </xf>
    <xf numFmtId="166" fontId="0" fillId="0" borderId="12" xfId="0" applyNumberFormat="1" applyBorder="1" applyAlignment="1" applyProtection="1">
      <alignment horizontal="right"/>
      <protection locked="0"/>
    </xf>
    <xf numFmtId="166" fontId="0" fillId="0" borderId="16" xfId="0" applyNumberFormat="1" applyBorder="1" applyAlignment="1" applyProtection="1">
      <alignment horizontal="right"/>
      <protection locked="0"/>
    </xf>
    <xf numFmtId="166" fontId="0" fillId="0" borderId="14" xfId="0" applyNumberFormat="1" applyBorder="1" applyAlignment="1">
      <alignment horizontal="right"/>
    </xf>
    <xf numFmtId="166" fontId="1" fillId="3" borderId="25" xfId="0" applyNumberFormat="1" applyFont="1" applyFill="1" applyBorder="1" applyAlignment="1">
      <alignment horizontal="right"/>
    </xf>
    <xf numFmtId="166" fontId="1" fillId="3" borderId="26" xfId="0" applyNumberFormat="1" applyFont="1" applyFill="1" applyBorder="1" applyAlignment="1">
      <alignment horizontal="right"/>
    </xf>
    <xf numFmtId="166" fontId="1" fillId="3" borderId="29" xfId="0" applyNumberFormat="1" applyFont="1" applyFill="1" applyBorder="1" applyAlignment="1">
      <alignment horizontal="right"/>
    </xf>
    <xf numFmtId="166" fontId="1" fillId="3" borderId="30" xfId="0" applyNumberFormat="1" applyFont="1" applyFill="1" applyBorder="1" applyAlignment="1">
      <alignment horizontal="right"/>
    </xf>
    <xf numFmtId="166" fontId="12" fillId="0" borderId="34" xfId="0" applyNumberFormat="1" applyFont="1" applyBorder="1" applyAlignment="1">
      <alignment horizontal="center"/>
    </xf>
    <xf numFmtId="166" fontId="12" fillId="0" borderId="18" xfId="0" applyNumberFormat="1" applyFont="1" applyBorder="1" applyAlignment="1">
      <alignment horizontal="center"/>
    </xf>
    <xf numFmtId="166" fontId="12" fillId="0" borderId="35" xfId="0" applyNumberFormat="1" applyFont="1" applyBorder="1" applyAlignment="1">
      <alignment horizontal="center"/>
    </xf>
    <xf numFmtId="166" fontId="0" fillId="0" borderId="55" xfId="0" applyNumberFormat="1" applyBorder="1" applyProtection="1">
      <protection locked="0"/>
    </xf>
    <xf numFmtId="166" fontId="0" fillId="0" borderId="13" xfId="0" applyNumberFormat="1" applyBorder="1" applyAlignment="1">
      <alignment horizontal="right"/>
    </xf>
    <xf numFmtId="166" fontId="0" fillId="0" borderId="54" xfId="0" applyNumberFormat="1" applyBorder="1" applyProtection="1">
      <protection locked="0"/>
    </xf>
    <xf numFmtId="166" fontId="0" fillId="0" borderId="57" xfId="0" applyNumberFormat="1" applyBorder="1" applyProtection="1">
      <protection locked="0"/>
    </xf>
    <xf numFmtId="166" fontId="0" fillId="5" borderId="55" xfId="0" applyNumberFormat="1" applyFill="1" applyBorder="1" applyProtection="1">
      <protection locked="0"/>
    </xf>
    <xf numFmtId="166" fontId="1" fillId="5" borderId="56" xfId="0" applyNumberFormat="1" applyFont="1" applyFill="1" applyBorder="1"/>
    <xf numFmtId="166" fontId="1" fillId="5" borderId="3" xfId="0" applyNumberFormat="1" applyFont="1" applyFill="1" applyBorder="1"/>
    <xf numFmtId="165" fontId="0" fillId="0" borderId="4" xfId="0" applyNumberFormat="1" applyBorder="1" applyProtection="1">
      <protection locked="0"/>
    </xf>
    <xf numFmtId="165" fontId="0" fillId="0" borderId="7" xfId="0" applyNumberFormat="1" applyBorder="1" applyProtection="1">
      <protection locked="0"/>
    </xf>
    <xf numFmtId="165" fontId="0" fillId="0" borderId="49" xfId="0" applyNumberFormat="1" applyBorder="1" applyProtection="1">
      <protection locked="0"/>
    </xf>
    <xf numFmtId="165" fontId="0" fillId="0" borderId="2" xfId="0" applyNumberFormat="1" applyBorder="1" applyProtection="1">
      <protection locked="0"/>
    </xf>
    <xf numFmtId="165" fontId="0" fillId="0" borderId="11" xfId="0" applyNumberFormat="1" applyBorder="1" applyProtection="1">
      <protection locked="0"/>
    </xf>
    <xf numFmtId="165" fontId="0" fillId="0" borderId="40" xfId="0" applyNumberFormat="1" applyBorder="1" applyProtection="1">
      <protection locked="0"/>
    </xf>
    <xf numFmtId="165" fontId="1" fillId="5" borderId="34" xfId="0" applyNumberFormat="1" applyFont="1" applyFill="1" applyBorder="1"/>
    <xf numFmtId="0" fontId="7" fillId="4" borderId="50" xfId="0" applyFont="1" applyFill="1" applyBorder="1"/>
    <xf numFmtId="0" fontId="1" fillId="8" borderId="0" xfId="0" applyFont="1" applyFill="1" applyAlignment="1">
      <alignment horizontal="right"/>
    </xf>
    <xf numFmtId="10" fontId="1" fillId="8" borderId="0" xfId="3" applyNumberFormat="1" applyFont="1" applyFill="1" applyBorder="1" applyProtection="1"/>
    <xf numFmtId="165" fontId="0" fillId="10" borderId="49" xfId="0" applyNumberFormat="1" applyFill="1" applyBorder="1" applyAlignment="1" applyProtection="1">
      <alignment horizontal="right"/>
      <protection locked="0"/>
    </xf>
    <xf numFmtId="165" fontId="6" fillId="5" borderId="49" xfId="0" applyNumberFormat="1" applyFont="1" applyFill="1" applyBorder="1" applyAlignment="1" applyProtection="1">
      <alignment horizontal="right"/>
      <protection locked="0"/>
    </xf>
    <xf numFmtId="164" fontId="23" fillId="11" borderId="51" xfId="0" applyNumberFormat="1" applyFont="1" applyFill="1" applyBorder="1" applyAlignment="1">
      <alignment horizontal="right"/>
    </xf>
    <xf numFmtId="164" fontId="23" fillId="11" borderId="9" xfId="0" applyNumberFormat="1" applyFont="1" applyFill="1" applyBorder="1" applyAlignment="1">
      <alignment horizontal="right"/>
    </xf>
    <xf numFmtId="164" fontId="23" fillId="11" borderId="1" xfId="0" applyNumberFormat="1" applyFont="1" applyFill="1" applyBorder="1" applyAlignment="1">
      <alignment horizontal="right"/>
    </xf>
    <xf numFmtId="164" fontId="23" fillId="11" borderId="49" xfId="0" applyNumberFormat="1" applyFont="1" applyFill="1" applyBorder="1" applyAlignment="1">
      <alignment horizontal="right"/>
    </xf>
    <xf numFmtId="164" fontId="7" fillId="0" borderId="9" xfId="0" applyNumberFormat="1" applyFont="1" applyBorder="1" applyAlignment="1" applyProtection="1">
      <alignment horizontal="right"/>
      <protection locked="0"/>
    </xf>
    <xf numFmtId="164" fontId="7" fillId="0" borderId="8" xfId="0" applyNumberFormat="1" applyFont="1" applyBorder="1" applyAlignment="1" applyProtection="1">
      <alignment horizontal="right"/>
      <protection locked="0"/>
    </xf>
    <xf numFmtId="164" fontId="7" fillId="11" borderId="1" xfId="0" applyNumberFormat="1" applyFont="1" applyFill="1" applyBorder="1" applyAlignment="1">
      <alignment horizontal="right"/>
    </xf>
    <xf numFmtId="164" fontId="7" fillId="0" borderId="43" xfId="0" applyNumberFormat="1" applyFont="1" applyBorder="1" applyAlignment="1" applyProtection="1">
      <alignment horizontal="right"/>
      <protection locked="0"/>
    </xf>
    <xf numFmtId="164" fontId="7" fillId="0" borderId="1" xfId="0" applyNumberFormat="1" applyFont="1" applyBorder="1" applyAlignment="1" applyProtection="1">
      <alignment horizontal="right"/>
      <protection locked="0"/>
    </xf>
    <xf numFmtId="164" fontId="7" fillId="0" borderId="44" xfId="0" applyNumberFormat="1" applyFont="1" applyBorder="1" applyAlignment="1" applyProtection="1">
      <alignment horizontal="right"/>
      <protection locked="0"/>
    </xf>
    <xf numFmtId="164" fontId="7" fillId="0" borderId="12" xfId="0" applyNumberFormat="1" applyFont="1" applyBorder="1" applyAlignment="1" applyProtection="1">
      <alignment horizontal="right"/>
      <protection locked="0"/>
    </xf>
    <xf numFmtId="164" fontId="7" fillId="11" borderId="49" xfId="0" applyNumberFormat="1" applyFont="1" applyFill="1" applyBorder="1" applyAlignment="1">
      <alignment horizontal="right"/>
    </xf>
    <xf numFmtId="164" fontId="7" fillId="0" borderId="15" xfId="0" applyNumberFormat="1" applyFont="1" applyBorder="1" applyAlignment="1" applyProtection="1">
      <alignment horizontal="right"/>
      <protection locked="0"/>
    </xf>
    <xf numFmtId="164" fontId="7" fillId="0" borderId="23" xfId="0" applyNumberFormat="1" applyFont="1" applyBorder="1" applyAlignment="1">
      <alignment horizontal="right"/>
    </xf>
    <xf numFmtId="164" fontId="7" fillId="11" borderId="11" xfId="0" applyNumberFormat="1" applyFont="1" applyFill="1" applyBorder="1" applyAlignment="1">
      <alignment horizontal="right"/>
    </xf>
    <xf numFmtId="164" fontId="7" fillId="11" borderId="44" xfId="0" applyNumberFormat="1" applyFont="1" applyFill="1" applyBorder="1" applyAlignment="1">
      <alignment horizontal="right"/>
    </xf>
    <xf numFmtId="164" fontId="7" fillId="0" borderId="16" xfId="0" applyNumberFormat="1" applyFont="1" applyBorder="1" applyAlignment="1" applyProtection="1">
      <alignment horizontal="right"/>
      <protection locked="0"/>
    </xf>
    <xf numFmtId="164" fontId="7" fillId="0" borderId="14" xfId="0" applyNumberFormat="1" applyFont="1" applyBorder="1" applyAlignment="1">
      <alignment horizontal="right"/>
    </xf>
    <xf numFmtId="164" fontId="8" fillId="3" borderId="25" xfId="0" applyNumberFormat="1" applyFont="1" applyFill="1" applyBorder="1" applyAlignment="1">
      <alignment horizontal="right"/>
    </xf>
    <xf numFmtId="164" fontId="8" fillId="3" borderId="26" xfId="0" applyNumberFormat="1" applyFont="1" applyFill="1" applyBorder="1" applyAlignment="1">
      <alignment horizontal="right"/>
    </xf>
    <xf numFmtId="164" fontId="8" fillId="3" borderId="29" xfId="0" applyNumberFormat="1" applyFont="1" applyFill="1" applyBorder="1" applyAlignment="1">
      <alignment horizontal="right"/>
    </xf>
    <xf numFmtId="164" fontId="8" fillId="3" borderId="30" xfId="0" applyNumberFormat="1" applyFont="1" applyFill="1" applyBorder="1" applyAlignment="1">
      <alignment horizontal="right"/>
    </xf>
    <xf numFmtId="164" fontId="7" fillId="0" borderId="23" xfId="0" applyNumberFormat="1" applyFont="1" applyBorder="1" applyAlignment="1" applyProtection="1">
      <alignment horizontal="right"/>
      <protection locked="0"/>
    </xf>
    <xf numFmtId="164" fontId="7" fillId="2" borderId="23" xfId="0" applyNumberFormat="1" applyFont="1" applyFill="1" applyBorder="1" applyAlignment="1" applyProtection="1">
      <alignment horizontal="right"/>
      <protection locked="0"/>
    </xf>
    <xf numFmtId="164" fontId="7" fillId="2" borderId="15" xfId="0" applyNumberFormat="1" applyFont="1" applyFill="1" applyBorder="1" applyAlignment="1" applyProtection="1">
      <alignment horizontal="right"/>
      <protection locked="0"/>
    </xf>
    <xf numFmtId="164" fontId="7" fillId="0" borderId="7" xfId="0" applyNumberFormat="1" applyFont="1" applyBorder="1" applyProtection="1">
      <protection locked="0"/>
    </xf>
    <xf numFmtId="164" fontId="7" fillId="0" borderId="55" xfId="0" applyNumberFormat="1" applyFont="1" applyBorder="1" applyProtection="1">
      <protection locked="0"/>
    </xf>
    <xf numFmtId="164" fontId="7" fillId="0" borderId="13" xfId="0" applyNumberFormat="1" applyFont="1" applyBorder="1" applyAlignment="1">
      <alignment horizontal="right"/>
    </xf>
    <xf numFmtId="164" fontId="7" fillId="0" borderId="2" xfId="0" applyNumberFormat="1" applyFont="1" applyBorder="1" applyProtection="1">
      <protection locked="0"/>
    </xf>
    <xf numFmtId="164" fontId="7" fillId="0" borderId="54" xfId="0" applyNumberFormat="1" applyFont="1" applyBorder="1" applyProtection="1">
      <protection locked="0"/>
    </xf>
    <xf numFmtId="167" fontId="7" fillId="0" borderId="49" xfId="0" applyNumberFormat="1" applyFont="1" applyBorder="1" applyProtection="1">
      <protection locked="0"/>
    </xf>
    <xf numFmtId="164" fontId="7" fillId="0" borderId="57" xfId="0" applyNumberFormat="1" applyFont="1" applyBorder="1" applyProtection="1">
      <protection locked="0"/>
    </xf>
    <xf numFmtId="164" fontId="8" fillId="5" borderId="34" xfId="0" applyNumberFormat="1" applyFont="1" applyFill="1" applyBorder="1"/>
    <xf numFmtId="164" fontId="7" fillId="5" borderId="55" xfId="0" applyNumberFormat="1" applyFont="1" applyFill="1" applyBorder="1" applyProtection="1">
      <protection locked="0"/>
    </xf>
    <xf numFmtId="164" fontId="8" fillId="5" borderId="56" xfId="0" applyNumberFormat="1" applyFont="1" applyFill="1" applyBorder="1"/>
    <xf numFmtId="164" fontId="8" fillId="5" borderId="3" xfId="0" applyNumberFormat="1" applyFont="1" applyFill="1" applyBorder="1"/>
    <xf numFmtId="165" fontId="25" fillId="6" borderId="38" xfId="0" applyNumberFormat="1" applyFont="1" applyFill="1" applyBorder="1"/>
    <xf numFmtId="165" fontId="24" fillId="6" borderId="38" xfId="0" applyNumberFormat="1" applyFont="1" applyFill="1" applyBorder="1"/>
    <xf numFmtId="0" fontId="26" fillId="0" borderId="22" xfId="0" applyFont="1" applyBorder="1"/>
    <xf numFmtId="0" fontId="26" fillId="0" borderId="0" xfId="0" applyFont="1"/>
    <xf numFmtId="0" fontId="16" fillId="0" borderId="22" xfId="0" applyFont="1" applyBorder="1" applyAlignment="1" applyProtection="1">
      <alignment horizontal="left"/>
      <protection locked="0"/>
    </xf>
    <xf numFmtId="0" fontId="16" fillId="0" borderId="0" xfId="0" applyFont="1" applyAlignment="1" applyProtection="1">
      <alignment horizontal="left"/>
      <protection locked="0"/>
    </xf>
    <xf numFmtId="0" fontId="28" fillId="0" borderId="34" xfId="0" applyFont="1" applyBorder="1" applyAlignment="1">
      <alignment horizontal="center"/>
    </xf>
    <xf numFmtId="0" fontId="28" fillId="0" borderId="18" xfId="0" applyFont="1" applyBorder="1" applyAlignment="1">
      <alignment horizontal="center"/>
    </xf>
    <xf numFmtId="0" fontId="28" fillId="0" borderId="35" xfId="0" applyFont="1" applyBorder="1" applyAlignment="1">
      <alignment horizontal="center"/>
    </xf>
    <xf numFmtId="0" fontId="7" fillId="0" borderId="2" xfId="0" applyFont="1" applyBorder="1" applyProtection="1">
      <protection locked="0"/>
    </xf>
    <xf numFmtId="167" fontId="7" fillId="0" borderId="2" xfId="0" applyNumberFormat="1" applyFont="1" applyBorder="1" applyProtection="1">
      <protection locked="0"/>
    </xf>
    <xf numFmtId="164" fontId="7" fillId="0" borderId="40" xfId="0" applyNumberFormat="1" applyFont="1" applyBorder="1" applyProtection="1">
      <protection locked="0"/>
    </xf>
    <xf numFmtId="164" fontId="7" fillId="0" borderId="4" xfId="0" applyNumberFormat="1" applyFont="1" applyBorder="1" applyProtection="1">
      <protection locked="0"/>
    </xf>
    <xf numFmtId="164" fontId="7" fillId="0" borderId="49" xfId="0" applyNumberFormat="1" applyFont="1" applyBorder="1" applyProtection="1">
      <protection locked="0"/>
    </xf>
    <xf numFmtId="0" fontId="7" fillId="0" borderId="49" xfId="0" applyFont="1" applyBorder="1" applyProtection="1">
      <protection locked="0"/>
    </xf>
    <xf numFmtId="164" fontId="7" fillId="0" borderId="11" xfId="0" applyNumberFormat="1" applyFont="1" applyBorder="1" applyProtection="1">
      <protection locked="0"/>
    </xf>
    <xf numFmtId="0" fontId="8" fillId="12" borderId="1" xfId="0" applyFont="1" applyFill="1" applyBorder="1"/>
    <xf numFmtId="164" fontId="8" fillId="12" borderId="1" xfId="0" applyNumberFormat="1" applyFont="1" applyFill="1" applyBorder="1" applyAlignment="1">
      <alignment horizontal="center"/>
    </xf>
    <xf numFmtId="164" fontId="8" fillId="8" borderId="0" xfId="0" applyNumberFormat="1" applyFont="1" applyFill="1"/>
    <xf numFmtId="164" fontId="8" fillId="0" borderId="1" xfId="0" applyNumberFormat="1" applyFont="1" applyBorder="1" applyAlignment="1" applyProtection="1">
      <alignment horizontal="right"/>
      <protection locked="0"/>
    </xf>
    <xf numFmtId="164" fontId="8" fillId="0" borderId="1" xfId="0" applyNumberFormat="1" applyFont="1" applyBorder="1"/>
    <xf numFmtId="0" fontId="8" fillId="8" borderId="0" xfId="0" applyFont="1" applyFill="1"/>
    <xf numFmtId="164" fontId="29" fillId="8" borderId="0" xfId="0" applyNumberFormat="1" applyFont="1" applyFill="1" applyAlignment="1">
      <alignment horizontal="right"/>
    </xf>
    <xf numFmtId="49" fontId="7" fillId="0" borderId="1" xfId="0" applyNumberFormat="1" applyFont="1" applyBorder="1"/>
    <xf numFmtId="164" fontId="7" fillId="0" borderId="1" xfId="0" applyNumberFormat="1" applyFont="1" applyBorder="1" applyProtection="1">
      <protection locked="0"/>
    </xf>
    <xf numFmtId="164" fontId="8" fillId="0" borderId="1" xfId="0" applyNumberFormat="1" applyFont="1" applyBorder="1" applyProtection="1">
      <protection locked="0"/>
    </xf>
    <xf numFmtId="49" fontId="7" fillId="8" borderId="0" xfId="0" applyNumberFormat="1" applyFont="1" applyFill="1"/>
    <xf numFmtId="164" fontId="7" fillId="8" borderId="0" xfId="0" applyNumberFormat="1" applyFont="1" applyFill="1" applyProtection="1">
      <protection locked="0"/>
    </xf>
    <xf numFmtId="164" fontId="8" fillId="8" borderId="0" xfId="0" applyNumberFormat="1" applyFont="1" applyFill="1" applyProtection="1">
      <protection locked="0"/>
    </xf>
    <xf numFmtId="164" fontId="8" fillId="8" borderId="0" xfId="0" applyNumberFormat="1" applyFont="1" applyFill="1" applyAlignment="1" applyProtection="1">
      <alignment horizontal="center"/>
      <protection locked="0"/>
    </xf>
    <xf numFmtId="164" fontId="8" fillId="8" borderId="0" xfId="0" applyNumberFormat="1" applyFont="1" applyFill="1" applyAlignment="1">
      <alignment horizontal="center"/>
    </xf>
    <xf numFmtId="10" fontId="7" fillId="8" borderId="0" xfId="0" applyNumberFormat="1" applyFont="1" applyFill="1"/>
    <xf numFmtId="164" fontId="8" fillId="0" borderId="1" xfId="0" applyNumberFormat="1" applyFont="1" applyBorder="1" applyAlignment="1" applyProtection="1">
      <alignment horizontal="center"/>
      <protection locked="0"/>
    </xf>
    <xf numFmtId="0" fontId="7" fillId="0" borderId="1" xfId="0" applyFont="1" applyBorder="1"/>
    <xf numFmtId="164" fontId="7" fillId="0" borderId="1" xfId="0" applyNumberFormat="1" applyFont="1" applyBorder="1"/>
    <xf numFmtId="164" fontId="8" fillId="8" borderId="0" xfId="0" applyNumberFormat="1" applyFont="1" applyFill="1" applyAlignment="1" applyProtection="1">
      <alignment horizontal="right"/>
      <protection locked="0"/>
    </xf>
    <xf numFmtId="164" fontId="8" fillId="0" borderId="31" xfId="0" applyNumberFormat="1" applyFont="1" applyBorder="1" applyProtection="1">
      <protection locked="0"/>
    </xf>
    <xf numFmtId="164" fontId="8" fillId="0" borderId="32" xfId="0" applyNumberFormat="1" applyFont="1" applyBorder="1" applyProtection="1">
      <protection locked="0"/>
    </xf>
    <xf numFmtId="164" fontId="30" fillId="0" borderId="1" xfId="0" applyNumberFormat="1" applyFont="1" applyBorder="1" applyProtection="1">
      <protection locked="0"/>
    </xf>
    <xf numFmtId="164" fontId="30" fillId="0" borderId="0" xfId="0" applyNumberFormat="1" applyFont="1" applyProtection="1">
      <protection locked="0"/>
    </xf>
    <xf numFmtId="164" fontId="8" fillId="5" borderId="49" xfId="0" applyNumberFormat="1" applyFont="1" applyFill="1" applyBorder="1" applyAlignment="1" applyProtection="1">
      <alignment horizontal="right"/>
      <protection locked="0"/>
    </xf>
    <xf numFmtId="164" fontId="7" fillId="5" borderId="49" xfId="0" applyNumberFormat="1" applyFont="1" applyFill="1" applyBorder="1" applyAlignment="1" applyProtection="1">
      <alignment horizontal="right"/>
      <protection locked="0"/>
    </xf>
    <xf numFmtId="164" fontId="8" fillId="13" borderId="1" xfId="0" applyNumberFormat="1" applyFont="1" applyFill="1" applyBorder="1" applyAlignment="1" applyProtection="1">
      <alignment horizontal="center"/>
      <protection locked="0"/>
    </xf>
    <xf numFmtId="164" fontId="8" fillId="13" borderId="1" xfId="0" applyNumberFormat="1" applyFont="1" applyFill="1" applyBorder="1" applyAlignment="1" applyProtection="1">
      <alignment horizontal="right"/>
      <protection locked="0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164" fontId="0" fillId="0" borderId="27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0" fontId="1" fillId="0" borderId="30" xfId="0" applyNumberFormat="1" applyFont="1" applyBorder="1" applyAlignment="1">
      <alignment horizontal="center" vertical="center" wrapText="1"/>
    </xf>
    <xf numFmtId="10" fontId="1" fillId="0" borderId="14" xfId="0" applyNumberFormat="1" applyFont="1" applyBorder="1" applyAlignment="1">
      <alignment horizontal="center" vertical="center" wrapText="1"/>
    </xf>
    <xf numFmtId="10" fontId="1" fillId="0" borderId="21" xfId="0" applyNumberFormat="1" applyFont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 wrapText="1"/>
    </xf>
    <xf numFmtId="0" fontId="1" fillId="3" borderId="41" xfId="0" applyFont="1" applyFill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 wrapText="1"/>
    </xf>
    <xf numFmtId="0" fontId="1" fillId="3" borderId="56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/>
    </xf>
    <xf numFmtId="0" fontId="0" fillId="0" borderId="18" xfId="0" applyBorder="1" applyAlignment="1">
      <alignment horizontal="center"/>
    </xf>
    <xf numFmtId="0" fontId="1" fillId="0" borderId="3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4" fillId="0" borderId="53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164" fontId="8" fillId="8" borderId="0" xfId="0" applyNumberFormat="1" applyFont="1" applyFill="1" applyAlignment="1" applyProtection="1">
      <alignment horizontal="center"/>
      <protection locked="0"/>
    </xf>
    <xf numFmtId="10" fontId="15" fillId="0" borderId="30" xfId="0" applyNumberFormat="1" applyFont="1" applyBorder="1" applyAlignment="1">
      <alignment horizontal="center" vertical="center" wrapText="1"/>
    </xf>
    <xf numFmtId="10" fontId="15" fillId="0" borderId="14" xfId="0" applyNumberFormat="1" applyFont="1" applyBorder="1" applyAlignment="1">
      <alignment horizontal="center" vertical="center" wrapText="1"/>
    </xf>
    <xf numFmtId="10" fontId="15" fillId="0" borderId="21" xfId="0" applyNumberFormat="1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/>
    </xf>
    <xf numFmtId="0" fontId="8" fillId="0" borderId="42" xfId="0" applyFont="1" applyBorder="1" applyAlignment="1">
      <alignment horizontal="center"/>
    </xf>
    <xf numFmtId="0" fontId="27" fillId="0" borderId="53" xfId="0" applyFont="1" applyBorder="1" applyAlignment="1">
      <alignment horizontal="center" vertical="center"/>
    </xf>
    <xf numFmtId="0" fontId="27" fillId="0" borderId="48" xfId="0" applyFont="1" applyBorder="1" applyAlignment="1">
      <alignment horizontal="center" vertical="center"/>
    </xf>
    <xf numFmtId="164" fontId="7" fillId="0" borderId="27" xfId="0" applyNumberFormat="1" applyFont="1" applyBorder="1" applyAlignment="1">
      <alignment horizontal="center" vertical="center"/>
    </xf>
    <xf numFmtId="164" fontId="7" fillId="0" borderId="20" xfId="0" applyNumberFormat="1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164" fontId="8" fillId="5" borderId="41" xfId="0" applyNumberFormat="1" applyFont="1" applyFill="1" applyBorder="1" applyAlignment="1">
      <alignment horizontal="center"/>
    </xf>
    <xf numFmtId="164" fontId="8" fillId="5" borderId="42" xfId="0" applyNumberFormat="1" applyFont="1" applyFill="1" applyBorder="1" applyAlignment="1">
      <alignment horizontal="center"/>
    </xf>
    <xf numFmtId="164" fontId="8" fillId="5" borderId="59" xfId="0" applyNumberFormat="1" applyFont="1" applyFill="1" applyBorder="1" applyAlignment="1">
      <alignment horizontal="center"/>
    </xf>
    <xf numFmtId="164" fontId="8" fillId="5" borderId="53" xfId="0" applyNumberFormat="1" applyFont="1" applyFill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0" fillId="0" borderId="3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49" fontId="7" fillId="0" borderId="1" xfId="0" applyNumberFormat="1" applyFont="1" applyBorder="1" applyAlignment="1">
      <alignment horizontal="left"/>
    </xf>
    <xf numFmtId="0" fontId="8" fillId="12" borderId="1" xfId="0" applyFont="1" applyFill="1" applyBorder="1" applyAlignment="1">
      <alignment horizontal="left"/>
    </xf>
    <xf numFmtId="0" fontId="7" fillId="0" borderId="43" xfId="0" applyFont="1" applyBorder="1" applyAlignment="1">
      <alignment horizontal="center"/>
    </xf>
    <xf numFmtId="0" fontId="7" fillId="0" borderId="6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" fillId="0" borderId="0" xfId="0" applyFont="1" applyAlignment="1" applyProtection="1">
      <alignment horizontal="left"/>
      <protection locked="0"/>
    </xf>
    <xf numFmtId="0" fontId="1" fillId="13" borderId="0" xfId="0" applyFont="1" applyFill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1" fillId="12" borderId="58" xfId="0" applyFont="1" applyFill="1" applyBorder="1" applyAlignment="1">
      <alignment horizontal="left" vertical="center"/>
    </xf>
    <xf numFmtId="0" fontId="1" fillId="12" borderId="47" xfId="0" applyFont="1" applyFill="1" applyBorder="1" applyAlignment="1">
      <alignment horizontal="left" vertical="center"/>
    </xf>
    <xf numFmtId="0" fontId="1" fillId="12" borderId="21" xfId="0" applyFont="1" applyFill="1" applyBorder="1" applyAlignment="1">
      <alignment horizontal="left" vertical="center"/>
    </xf>
    <xf numFmtId="0" fontId="1" fillId="0" borderId="27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6" fillId="0" borderId="22" xfId="0" applyFont="1" applyBorder="1" applyAlignment="1" applyProtection="1">
      <alignment horizontal="left"/>
      <protection locked="0"/>
    </xf>
    <xf numFmtId="0" fontId="16" fillId="0" borderId="0" xfId="0" applyFont="1" applyAlignment="1" applyProtection="1">
      <alignment horizontal="left"/>
      <protection locked="0"/>
    </xf>
    <xf numFmtId="0" fontId="1" fillId="0" borderId="25" xfId="0" applyFont="1" applyBorder="1" applyAlignment="1">
      <alignment horizontal="center" wrapText="1"/>
    </xf>
    <xf numFmtId="0" fontId="1" fillId="0" borderId="24" xfId="0" applyFont="1" applyBorder="1" applyAlignment="1">
      <alignment horizontal="center" wrapText="1"/>
    </xf>
    <xf numFmtId="166" fontId="8" fillId="5" borderId="41" xfId="0" applyNumberFormat="1" applyFont="1" applyFill="1" applyBorder="1" applyAlignment="1">
      <alignment horizontal="center"/>
    </xf>
    <xf numFmtId="166" fontId="8" fillId="5" borderId="42" xfId="0" applyNumberFormat="1" applyFont="1" applyFill="1" applyBorder="1" applyAlignment="1">
      <alignment horizontal="center"/>
    </xf>
    <xf numFmtId="166" fontId="8" fillId="5" borderId="59" xfId="0" applyNumberFormat="1" applyFont="1" applyFill="1" applyBorder="1" applyAlignment="1">
      <alignment horizontal="center"/>
    </xf>
    <xf numFmtId="166" fontId="8" fillId="5" borderId="53" xfId="0" applyNumberFormat="1" applyFont="1" applyFill="1" applyBorder="1" applyAlignment="1">
      <alignment horizontal="center"/>
    </xf>
    <xf numFmtId="166" fontId="1" fillId="0" borderId="41" xfId="0" applyNumberFormat="1" applyFont="1" applyBorder="1" applyAlignment="1">
      <alignment horizontal="center"/>
    </xf>
    <xf numFmtId="166" fontId="1" fillId="0" borderId="42" xfId="0" applyNumberFormat="1" applyFont="1" applyBorder="1" applyAlignment="1">
      <alignment horizontal="center"/>
    </xf>
    <xf numFmtId="166" fontId="0" fillId="0" borderId="27" xfId="0" applyNumberFormat="1" applyBorder="1" applyAlignment="1">
      <alignment horizontal="center" vertical="center"/>
    </xf>
    <xf numFmtId="166" fontId="0" fillId="0" borderId="20" xfId="0" applyNumberFormat="1" applyBorder="1" applyAlignment="1">
      <alignment horizontal="center" vertical="center"/>
    </xf>
    <xf numFmtId="166" fontId="0" fillId="0" borderId="30" xfId="0" applyNumberFormat="1" applyBorder="1" applyAlignment="1">
      <alignment horizontal="center" vertical="center"/>
    </xf>
    <xf numFmtId="166" fontId="0" fillId="0" borderId="21" xfId="0" applyNumberFormat="1" applyBorder="1" applyAlignment="1">
      <alignment horizontal="center" vertical="center"/>
    </xf>
    <xf numFmtId="166" fontId="14" fillId="0" borderId="53" xfId="0" applyNumberFormat="1" applyFont="1" applyBorder="1" applyAlignment="1">
      <alignment horizontal="center" vertical="center"/>
    </xf>
    <xf numFmtId="166" fontId="14" fillId="0" borderId="48" xfId="0" applyNumberFormat="1" applyFont="1" applyBorder="1" applyAlignment="1">
      <alignment horizontal="center" vertical="center"/>
    </xf>
    <xf numFmtId="164" fontId="1" fillId="0" borderId="39" xfId="0" applyNumberFormat="1" applyFont="1" applyBorder="1" applyAlignment="1" applyProtection="1">
      <alignment horizontal="left"/>
      <protection locked="0"/>
    </xf>
    <xf numFmtId="0" fontId="25" fillId="0" borderId="17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/>
    </xf>
    <xf numFmtId="49" fontId="7" fillId="0" borderId="1" xfId="0" applyNumberFormat="1" applyFont="1" applyBorder="1" applyAlignment="1">
      <alignment horizontal="left" indent="2"/>
    </xf>
  </cellXfs>
  <cellStyles count="4">
    <cellStyle name="Normální" xfId="0" builtinId="0"/>
    <cellStyle name="Normální 2" xfId="1" xr:uid="{00000000-0005-0000-0000-000001000000}"/>
    <cellStyle name="normální_Tabulka školy, návrh rozpočtu" xfId="2" xr:uid="{00000000-0005-0000-0000-000002000000}"/>
    <cellStyle name="Procenta" xfId="3" builtinId="5"/>
  </cellStyles>
  <dxfs count="2">
    <dxf>
      <font>
        <color theme="0"/>
      </font>
      <numFmt numFmtId="168" formatCode=";;;"/>
    </dxf>
    <dxf>
      <numFmt numFmtId="168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D135"/>
  <sheetViews>
    <sheetView showGridLines="0" tabSelected="1" zoomScale="64" zoomScaleNormal="64" zoomScaleSheetLayoutView="80" workbookViewId="0">
      <selection activeCell="Y61" sqref="Y61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16.5703125" customWidth="1"/>
    <col min="5" max="5" width="17.85546875" bestFit="1" customWidth="1"/>
    <col min="6" max="6" width="16.85546875" bestFit="1" customWidth="1"/>
    <col min="7" max="7" width="21.28515625" bestFit="1" customWidth="1"/>
    <col min="8" max="8" width="14.140625" customWidth="1"/>
    <col min="9" max="9" width="13.140625" bestFit="1" customWidth="1"/>
    <col min="10" max="10" width="16.140625" bestFit="1" customWidth="1"/>
    <col min="11" max="11" width="17.85546875" bestFit="1" customWidth="1"/>
    <col min="12" max="12" width="17.28515625" bestFit="1" customWidth="1"/>
    <col min="13" max="13" width="23.42578125" style="1" bestFit="1" customWidth="1"/>
    <col min="14" max="14" width="13.28515625" customWidth="1"/>
    <col min="15" max="15" width="13.140625" bestFit="1" customWidth="1"/>
    <col min="16" max="17" width="16.42578125" customWidth="1"/>
    <col min="18" max="18" width="17.28515625" bestFit="1" customWidth="1"/>
    <col min="19" max="19" width="21.140625" customWidth="1"/>
    <col min="20" max="20" width="12.42578125" customWidth="1"/>
    <col min="21" max="21" width="11.7109375" bestFit="1" customWidth="1"/>
    <col min="22" max="22" width="16.140625" bestFit="1" customWidth="1"/>
    <col min="23" max="23" width="14.140625" bestFit="1" customWidth="1"/>
    <col min="24" max="24" width="19.42578125" bestFit="1" customWidth="1"/>
    <col min="25" max="25" width="21.85546875" customWidth="1"/>
    <col min="26" max="26" width="12.5703125" customWidth="1"/>
    <col min="27" max="27" width="19.42578125" bestFit="1" customWidth="1"/>
    <col min="28" max="28" width="17.7109375" customWidth="1"/>
    <col min="29" max="29" width="5.85546875" customWidth="1"/>
    <col min="30" max="30" width="0" hidden="1" customWidth="1"/>
    <col min="31" max="16384" width="9.140625" hidden="1"/>
  </cols>
  <sheetData>
    <row r="1" spans="1:30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 t="s">
        <v>135</v>
      </c>
      <c r="AC1" s="2"/>
    </row>
    <row r="2" spans="1:30" ht="21" x14ac:dyDescent="0.35">
      <c r="A2" s="2"/>
      <c r="B2" s="4" t="s">
        <v>97</v>
      </c>
      <c r="C2" s="2"/>
      <c r="D2" s="2"/>
      <c r="E2" s="2"/>
      <c r="F2" s="2"/>
      <c r="G2" s="2"/>
      <c r="H2" s="2"/>
      <c r="I2" s="2"/>
      <c r="J2" s="2"/>
      <c r="K2" s="2"/>
      <c r="L2" s="2"/>
      <c r="M2" s="3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30" ht="7.5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3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30" ht="21" x14ac:dyDescent="0.35">
      <c r="A4" s="2"/>
      <c r="B4" s="2" t="s">
        <v>42</v>
      </c>
      <c r="C4" s="2"/>
      <c r="D4" s="290" t="s">
        <v>124</v>
      </c>
      <c r="E4" s="290"/>
      <c r="F4" s="290"/>
      <c r="G4" s="290"/>
      <c r="H4" s="290"/>
      <c r="I4" s="290"/>
      <c r="J4" s="290"/>
      <c r="K4" s="290"/>
      <c r="L4" s="290"/>
      <c r="M4" s="290"/>
      <c r="N4" s="290"/>
      <c r="O4" s="290"/>
      <c r="P4" s="290"/>
      <c r="Q4" s="290"/>
      <c r="R4" s="290"/>
      <c r="S4" s="290"/>
      <c r="T4" s="290"/>
      <c r="U4" s="290"/>
      <c r="V4" s="2"/>
      <c r="W4" s="2"/>
      <c r="X4" s="2"/>
      <c r="Y4" s="2"/>
      <c r="Z4" s="2"/>
      <c r="AA4" s="2"/>
      <c r="AB4" s="2"/>
      <c r="AC4" s="2"/>
    </row>
    <row r="5" spans="1:30" ht="3.75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1:30" x14ac:dyDescent="0.25">
      <c r="A6" s="2"/>
      <c r="B6" s="2" t="s">
        <v>43</v>
      </c>
      <c r="C6" s="2"/>
      <c r="D6" s="51">
        <v>46789766</v>
      </c>
      <c r="E6" s="2"/>
      <c r="F6" s="2"/>
      <c r="G6" s="2"/>
      <c r="H6" s="2"/>
      <c r="I6" s="2"/>
      <c r="J6" s="2"/>
      <c r="K6" s="2"/>
      <c r="L6" s="2"/>
      <c r="M6" s="3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30" ht="3.75" customHeight="1" x14ac:dyDescent="0.25">
      <c r="A7" s="2"/>
      <c r="B7" s="2"/>
      <c r="C7" s="2"/>
      <c r="D7" s="5"/>
      <c r="E7" s="2"/>
      <c r="F7" s="2"/>
      <c r="G7" s="2"/>
      <c r="H7" s="2"/>
      <c r="I7" s="2"/>
      <c r="J7" s="2"/>
      <c r="K7" s="2"/>
      <c r="L7" s="2"/>
      <c r="M7" s="3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spans="1:30" x14ac:dyDescent="0.25">
      <c r="A8" s="2"/>
      <c r="B8" s="2" t="s">
        <v>44</v>
      </c>
      <c r="C8" s="2"/>
      <c r="D8" s="291" t="s">
        <v>125</v>
      </c>
      <c r="E8" s="291"/>
      <c r="F8" s="291"/>
      <c r="G8" s="291"/>
      <c r="H8" s="291"/>
      <c r="I8" s="291"/>
      <c r="J8" s="291"/>
      <c r="K8" s="291"/>
      <c r="L8" s="291"/>
      <c r="M8" s="291"/>
      <c r="N8" s="291"/>
      <c r="O8" s="291"/>
      <c r="P8" s="291"/>
      <c r="Q8" s="291"/>
      <c r="R8" s="291"/>
      <c r="S8" s="291"/>
      <c r="T8" s="291"/>
      <c r="U8" s="291"/>
      <c r="V8" s="2"/>
      <c r="W8" s="2"/>
      <c r="X8" s="2"/>
      <c r="Y8" s="2"/>
      <c r="Z8" s="2"/>
      <c r="AA8" s="2"/>
      <c r="AB8" s="2"/>
      <c r="AC8" s="2"/>
    </row>
    <row r="9" spans="1:30" ht="15.75" thickBot="1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3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30" ht="29.25" customHeight="1" thickBot="1" x14ac:dyDescent="0.3">
      <c r="A10" s="2"/>
      <c r="B10" s="319" t="s">
        <v>37</v>
      </c>
      <c r="C10" s="295" t="s">
        <v>38</v>
      </c>
      <c r="D10" s="256" t="s">
        <v>98</v>
      </c>
      <c r="E10" s="257"/>
      <c r="F10" s="257"/>
      <c r="G10" s="257"/>
      <c r="H10" s="257"/>
      <c r="I10" s="258"/>
      <c r="J10" s="316" t="s">
        <v>100</v>
      </c>
      <c r="K10" s="317"/>
      <c r="L10" s="317"/>
      <c r="M10" s="317"/>
      <c r="N10" s="317"/>
      <c r="O10" s="318"/>
      <c r="P10" s="316" t="s">
        <v>99</v>
      </c>
      <c r="Q10" s="317"/>
      <c r="R10" s="317"/>
      <c r="S10" s="317"/>
      <c r="T10" s="317"/>
      <c r="U10" s="318"/>
      <c r="V10" s="256" t="s">
        <v>134</v>
      </c>
      <c r="W10" s="257"/>
      <c r="X10" s="257"/>
      <c r="Y10" s="257"/>
      <c r="Z10" s="257"/>
      <c r="AA10" s="258"/>
      <c r="AB10" s="243" t="s">
        <v>96</v>
      </c>
      <c r="AC10" s="2"/>
      <c r="AD10" s="2"/>
    </row>
    <row r="11" spans="1:30" ht="30.75" customHeight="1" thickBot="1" x14ac:dyDescent="0.3">
      <c r="A11" s="2"/>
      <c r="B11" s="320"/>
      <c r="C11" s="296"/>
      <c r="D11" s="246" t="s">
        <v>39</v>
      </c>
      <c r="E11" s="247"/>
      <c r="F11" s="247"/>
      <c r="G11" s="248"/>
      <c r="H11" s="6" t="s">
        <v>40</v>
      </c>
      <c r="I11" s="6" t="s">
        <v>59</v>
      </c>
      <c r="J11" s="246" t="s">
        <v>39</v>
      </c>
      <c r="K11" s="247"/>
      <c r="L11" s="247"/>
      <c r="M11" s="248"/>
      <c r="N11" s="6" t="s">
        <v>40</v>
      </c>
      <c r="O11" s="6" t="s">
        <v>59</v>
      </c>
      <c r="P11" s="246" t="s">
        <v>39</v>
      </c>
      <c r="Q11" s="247"/>
      <c r="R11" s="247"/>
      <c r="S11" s="248"/>
      <c r="T11" s="6" t="s">
        <v>40</v>
      </c>
      <c r="U11" s="6" t="s">
        <v>59</v>
      </c>
      <c r="V11" s="246" t="s">
        <v>39</v>
      </c>
      <c r="W11" s="247"/>
      <c r="X11" s="247"/>
      <c r="Y11" s="248"/>
      <c r="Z11" s="6" t="s">
        <v>40</v>
      </c>
      <c r="AA11" s="6" t="s">
        <v>59</v>
      </c>
      <c r="AB11" s="244"/>
      <c r="AC11" s="2"/>
      <c r="AD11" s="2"/>
    </row>
    <row r="12" spans="1:30" ht="15.75" customHeight="1" thickBot="1" x14ac:dyDescent="0.3">
      <c r="A12" s="2"/>
      <c r="B12" s="320"/>
      <c r="C12" s="297"/>
      <c r="D12" s="249" t="s">
        <v>60</v>
      </c>
      <c r="E12" s="250"/>
      <c r="F12" s="250"/>
      <c r="G12" s="250"/>
      <c r="H12" s="250"/>
      <c r="I12" s="251"/>
      <c r="J12" s="249" t="s">
        <v>60</v>
      </c>
      <c r="K12" s="250"/>
      <c r="L12" s="250"/>
      <c r="M12" s="250"/>
      <c r="N12" s="250"/>
      <c r="O12" s="251"/>
      <c r="P12" s="249" t="s">
        <v>60</v>
      </c>
      <c r="Q12" s="250"/>
      <c r="R12" s="250"/>
      <c r="S12" s="250"/>
      <c r="T12" s="250"/>
      <c r="U12" s="251"/>
      <c r="V12" s="249" t="s">
        <v>60</v>
      </c>
      <c r="W12" s="250"/>
      <c r="X12" s="250"/>
      <c r="Y12" s="250"/>
      <c r="Z12" s="250"/>
      <c r="AA12" s="251"/>
      <c r="AB12" s="244"/>
      <c r="AC12" s="2"/>
      <c r="AD12" s="2"/>
    </row>
    <row r="13" spans="1:30" ht="15.75" customHeight="1" thickBot="1" x14ac:dyDescent="0.3">
      <c r="A13" s="2"/>
      <c r="B13" s="321"/>
      <c r="C13" s="298"/>
      <c r="D13" s="252" t="s">
        <v>56</v>
      </c>
      <c r="E13" s="253"/>
      <c r="F13" s="253"/>
      <c r="G13" s="241" t="s">
        <v>61</v>
      </c>
      <c r="H13" s="259" t="s">
        <v>64</v>
      </c>
      <c r="I13" s="254" t="s">
        <v>60</v>
      </c>
      <c r="J13" s="252" t="s">
        <v>56</v>
      </c>
      <c r="K13" s="253"/>
      <c r="L13" s="253"/>
      <c r="M13" s="241" t="s">
        <v>61</v>
      </c>
      <c r="N13" s="259" t="s">
        <v>64</v>
      </c>
      <c r="O13" s="254" t="s">
        <v>60</v>
      </c>
      <c r="P13" s="252" t="s">
        <v>56</v>
      </c>
      <c r="Q13" s="253"/>
      <c r="R13" s="253"/>
      <c r="S13" s="241" t="s">
        <v>61</v>
      </c>
      <c r="T13" s="259" t="s">
        <v>64</v>
      </c>
      <c r="U13" s="254" t="s">
        <v>60</v>
      </c>
      <c r="V13" s="252" t="s">
        <v>56</v>
      </c>
      <c r="W13" s="253"/>
      <c r="X13" s="253"/>
      <c r="Y13" s="241" t="s">
        <v>61</v>
      </c>
      <c r="Z13" s="259" t="s">
        <v>64</v>
      </c>
      <c r="AA13" s="254" t="s">
        <v>60</v>
      </c>
      <c r="AB13" s="244"/>
      <c r="AC13" s="2"/>
      <c r="AD13" s="2"/>
    </row>
    <row r="14" spans="1:30" ht="15.75" thickBot="1" x14ac:dyDescent="0.3">
      <c r="A14" s="2"/>
      <c r="B14" s="7"/>
      <c r="C14" s="8"/>
      <c r="D14" s="94" t="s">
        <v>57</v>
      </c>
      <c r="E14" s="95" t="s">
        <v>87</v>
      </c>
      <c r="F14" s="95" t="s">
        <v>58</v>
      </c>
      <c r="G14" s="242"/>
      <c r="H14" s="260"/>
      <c r="I14" s="255"/>
      <c r="J14" s="94" t="s">
        <v>57</v>
      </c>
      <c r="K14" s="95" t="s">
        <v>87</v>
      </c>
      <c r="L14" s="95" t="s">
        <v>58</v>
      </c>
      <c r="M14" s="242"/>
      <c r="N14" s="260"/>
      <c r="O14" s="255"/>
      <c r="P14" s="94" t="s">
        <v>57</v>
      </c>
      <c r="Q14" s="95" t="s">
        <v>87</v>
      </c>
      <c r="R14" s="95" t="s">
        <v>58</v>
      </c>
      <c r="S14" s="242"/>
      <c r="T14" s="260"/>
      <c r="U14" s="255"/>
      <c r="V14" s="94" t="s">
        <v>57</v>
      </c>
      <c r="W14" s="95" t="s">
        <v>87</v>
      </c>
      <c r="X14" s="95" t="s">
        <v>58</v>
      </c>
      <c r="Y14" s="242"/>
      <c r="Z14" s="260"/>
      <c r="AA14" s="255"/>
      <c r="AB14" s="245"/>
      <c r="AC14" s="2"/>
      <c r="AD14" s="2"/>
    </row>
    <row r="15" spans="1:30" x14ac:dyDescent="0.25">
      <c r="A15" s="2"/>
      <c r="B15" s="28" t="s">
        <v>0</v>
      </c>
      <c r="C15" s="29" t="s">
        <v>51</v>
      </c>
      <c r="D15" s="9"/>
      <c r="E15" s="10"/>
      <c r="F15" s="163">
        <f>2137.4+12.5</f>
        <v>2149.9</v>
      </c>
      <c r="G15" s="164">
        <f>SUM(D15:F15)</f>
        <v>2149.9</v>
      </c>
      <c r="H15" s="181">
        <v>504.7</v>
      </c>
      <c r="I15" s="11">
        <f>G15+H15</f>
        <v>2654.6</v>
      </c>
      <c r="J15" s="111"/>
      <c r="K15" s="112"/>
      <c r="L15" s="113">
        <v>2496</v>
      </c>
      <c r="M15" s="114">
        <f t="shared" ref="M15:M24" si="0">SUM(J15:L15)</f>
        <v>2496</v>
      </c>
      <c r="N15" s="115">
        <v>450</v>
      </c>
      <c r="O15" s="116">
        <f>M15+N15</f>
        <v>2946</v>
      </c>
      <c r="P15" s="159"/>
      <c r="Q15" s="160"/>
      <c r="R15" s="163">
        <f>1143.7+14.8</f>
        <v>1158.5</v>
      </c>
      <c r="S15" s="164">
        <f>SUM(P15:R15)</f>
        <v>1158.5</v>
      </c>
      <c r="T15" s="181">
        <f>286.9</f>
        <v>286.89999999999998</v>
      </c>
      <c r="U15" s="172">
        <f>S15+T15</f>
        <v>1445.4</v>
      </c>
      <c r="V15" s="9"/>
      <c r="W15" s="10"/>
      <c r="X15" s="163">
        <v>2150</v>
      </c>
      <c r="Y15" s="47">
        <f>SUM(V15:X15)</f>
        <v>2150</v>
      </c>
      <c r="Z15" s="49">
        <v>445</v>
      </c>
      <c r="AA15" s="11">
        <f>Y15+Z15</f>
        <v>2595</v>
      </c>
      <c r="AB15" s="98">
        <f>(AA15/O15)</f>
        <v>0.88085539714867622</v>
      </c>
      <c r="AC15" s="2"/>
      <c r="AD15" s="2"/>
    </row>
    <row r="16" spans="1:30" x14ac:dyDescent="0.25">
      <c r="A16" s="2"/>
      <c r="B16" s="12" t="s">
        <v>1</v>
      </c>
      <c r="C16" s="81" t="s">
        <v>104</v>
      </c>
      <c r="D16" s="44">
        <v>6783.2</v>
      </c>
      <c r="E16" s="13"/>
      <c r="F16" s="165"/>
      <c r="G16" s="166">
        <f t="shared" ref="G16:G24" si="1">SUM(D16:F16)</f>
        <v>6783.2</v>
      </c>
      <c r="H16" s="182"/>
      <c r="I16" s="11">
        <f t="shared" ref="I16:I24" si="2">G16+H16</f>
        <v>6783.2</v>
      </c>
      <c r="J16" s="157">
        <v>7000</v>
      </c>
      <c r="K16" s="117"/>
      <c r="L16" s="117"/>
      <c r="M16" s="118">
        <f t="shared" si="0"/>
        <v>7000</v>
      </c>
      <c r="N16" s="119"/>
      <c r="O16" s="116">
        <f t="shared" ref="O16:O21" si="3">M16+N16</f>
        <v>7000</v>
      </c>
      <c r="P16" s="44">
        <v>3740</v>
      </c>
      <c r="Q16" s="161"/>
      <c r="R16" s="165"/>
      <c r="S16" s="166">
        <f t="shared" ref="S16:S24" si="4">SUM(P16:R16)</f>
        <v>3740</v>
      </c>
      <c r="T16" s="182"/>
      <c r="U16" s="172">
        <f t="shared" ref="U16:U21" si="5">S16+T16</f>
        <v>3740</v>
      </c>
      <c r="V16" s="44">
        <f>7094+40+100</f>
        <v>7234</v>
      </c>
      <c r="W16" s="13"/>
      <c r="X16" s="165"/>
      <c r="Y16" s="48">
        <f t="shared" ref="Y16:Y24" si="6">SUM(V16:X16)</f>
        <v>7234</v>
      </c>
      <c r="Z16" s="50"/>
      <c r="AA16" s="11">
        <f t="shared" ref="AA16:AA21" si="7">Y16+Z16</f>
        <v>7234</v>
      </c>
      <c r="AB16" s="98">
        <f t="shared" ref="AB16:AB25" si="8">(AA16/O16)</f>
        <v>1.0334285714285714</v>
      </c>
      <c r="AC16" s="2"/>
      <c r="AD16" s="2"/>
    </row>
    <row r="17" spans="1:30" x14ac:dyDescent="0.25">
      <c r="A17" s="2"/>
      <c r="B17" s="12" t="s">
        <v>3</v>
      </c>
      <c r="C17" s="82" t="s">
        <v>103</v>
      </c>
      <c r="D17" s="45">
        <f>177.1+217.8+42+44</f>
        <v>480.9</v>
      </c>
      <c r="E17" s="14"/>
      <c r="F17" s="165"/>
      <c r="G17" s="166">
        <f t="shared" si="1"/>
        <v>480.9</v>
      </c>
      <c r="H17" s="183"/>
      <c r="I17" s="11">
        <f t="shared" si="2"/>
        <v>480.9</v>
      </c>
      <c r="J17" s="158">
        <v>396.7</v>
      </c>
      <c r="K17" s="120"/>
      <c r="L17" s="120"/>
      <c r="M17" s="118">
        <f t="shared" si="0"/>
        <v>396.7</v>
      </c>
      <c r="N17" s="121"/>
      <c r="O17" s="116">
        <f t="shared" si="3"/>
        <v>396.7</v>
      </c>
      <c r="P17" s="45">
        <f>179.7+217</f>
        <v>396.7</v>
      </c>
      <c r="Q17" s="161"/>
      <c r="R17" s="165"/>
      <c r="S17" s="166">
        <f t="shared" si="4"/>
        <v>396.7</v>
      </c>
      <c r="T17" s="183"/>
      <c r="U17" s="172">
        <f t="shared" si="5"/>
        <v>396.7</v>
      </c>
      <c r="V17" s="236">
        <f>175.6+50</f>
        <v>225.6</v>
      </c>
      <c r="W17" s="165"/>
      <c r="X17" s="165"/>
      <c r="Y17" s="166">
        <f t="shared" si="6"/>
        <v>225.6</v>
      </c>
      <c r="Z17" s="183"/>
      <c r="AA17" s="172">
        <f t="shared" si="7"/>
        <v>225.6</v>
      </c>
      <c r="AB17" s="98">
        <f t="shared" si="8"/>
        <v>0.56869170657927903</v>
      </c>
      <c r="AC17" s="2"/>
      <c r="AD17" s="2"/>
    </row>
    <row r="18" spans="1:30" x14ac:dyDescent="0.25">
      <c r="A18" s="2"/>
      <c r="B18" s="12" t="s">
        <v>101</v>
      </c>
      <c r="C18" s="154" t="s">
        <v>102</v>
      </c>
      <c r="D18" s="45">
        <v>0</v>
      </c>
      <c r="E18" s="14"/>
      <c r="F18" s="165"/>
      <c r="G18" s="166">
        <f t="shared" si="1"/>
        <v>0</v>
      </c>
      <c r="H18" s="182"/>
      <c r="I18" s="11">
        <f t="shared" si="2"/>
        <v>0</v>
      </c>
      <c r="J18" s="158">
        <v>0</v>
      </c>
      <c r="K18" s="120"/>
      <c r="L18" s="120"/>
      <c r="M18" s="118">
        <f t="shared" si="0"/>
        <v>0</v>
      </c>
      <c r="N18" s="119"/>
      <c r="O18" s="116">
        <f t="shared" si="3"/>
        <v>0</v>
      </c>
      <c r="P18" s="45">
        <v>0</v>
      </c>
      <c r="Q18" s="161"/>
      <c r="R18" s="165"/>
      <c r="S18" s="166">
        <f t="shared" si="4"/>
        <v>0</v>
      </c>
      <c r="T18" s="182"/>
      <c r="U18" s="172">
        <f t="shared" si="5"/>
        <v>0</v>
      </c>
      <c r="V18" s="235">
        <f>9246.4</f>
        <v>9246.4</v>
      </c>
      <c r="W18" s="165"/>
      <c r="X18" s="165"/>
      <c r="Y18" s="166">
        <f t="shared" si="6"/>
        <v>9246.4</v>
      </c>
      <c r="Z18" s="182"/>
      <c r="AA18" s="172">
        <f t="shared" si="7"/>
        <v>9246.4</v>
      </c>
      <c r="AB18" s="98"/>
      <c r="AC18" s="2"/>
      <c r="AD18" s="2"/>
    </row>
    <row r="19" spans="1:30" x14ac:dyDescent="0.25">
      <c r="A19" s="2"/>
      <c r="B19" s="12" t="s">
        <v>5</v>
      </c>
      <c r="C19" s="83" t="s">
        <v>52</v>
      </c>
      <c r="D19" s="15"/>
      <c r="E19" s="46">
        <f>44963.1+75.5+3757.3+766.8</f>
        <v>49562.700000000004</v>
      </c>
      <c r="F19" s="165"/>
      <c r="G19" s="166">
        <f t="shared" si="1"/>
        <v>49562.700000000004</v>
      </c>
      <c r="H19" s="181"/>
      <c r="I19" s="11">
        <f t="shared" si="2"/>
        <v>49562.700000000004</v>
      </c>
      <c r="J19" s="122"/>
      <c r="K19" s="123">
        <v>48932.6</v>
      </c>
      <c r="L19" s="120"/>
      <c r="M19" s="118">
        <f t="shared" si="0"/>
        <v>48932.6</v>
      </c>
      <c r="N19" s="115"/>
      <c r="O19" s="116">
        <f t="shared" si="3"/>
        <v>48932.6</v>
      </c>
      <c r="P19" s="162"/>
      <c r="Q19" s="46">
        <f>3460.1+22230+397.3+29.8</f>
        <v>26117.199999999997</v>
      </c>
      <c r="R19" s="165"/>
      <c r="S19" s="166">
        <f t="shared" si="4"/>
        <v>26117.199999999997</v>
      </c>
      <c r="T19" s="181"/>
      <c r="U19" s="172">
        <f t="shared" si="5"/>
        <v>26117.199999999997</v>
      </c>
      <c r="V19" s="170"/>
      <c r="W19" s="167">
        <f>40023.2+(1385.1)+666.9</f>
        <v>42075.199999999997</v>
      </c>
      <c r="X19" s="165"/>
      <c r="Y19" s="166">
        <f t="shared" si="6"/>
        <v>42075.199999999997</v>
      </c>
      <c r="Z19" s="181"/>
      <c r="AA19" s="172">
        <f t="shared" si="7"/>
        <v>42075.199999999997</v>
      </c>
      <c r="AB19" s="98">
        <f t="shared" si="8"/>
        <v>0.85986029763388816</v>
      </c>
      <c r="AC19" s="2"/>
      <c r="AD19" s="2"/>
    </row>
    <row r="20" spans="1:30" x14ac:dyDescent="0.25">
      <c r="A20" s="2"/>
      <c r="B20" s="12" t="s">
        <v>7</v>
      </c>
      <c r="C20" s="31" t="s">
        <v>45</v>
      </c>
      <c r="D20" s="16"/>
      <c r="E20" s="14"/>
      <c r="F20" s="167">
        <v>1001</v>
      </c>
      <c r="G20" s="166">
        <f>SUM(D20:F20)</f>
        <v>1001</v>
      </c>
      <c r="H20" s="181"/>
      <c r="I20" s="11">
        <f t="shared" si="2"/>
        <v>1001</v>
      </c>
      <c r="J20" s="124"/>
      <c r="K20" s="120"/>
      <c r="L20" s="123">
        <v>1030</v>
      </c>
      <c r="M20" s="118">
        <f t="shared" si="0"/>
        <v>1030</v>
      </c>
      <c r="N20" s="115"/>
      <c r="O20" s="116">
        <f t="shared" si="3"/>
        <v>1030</v>
      </c>
      <c r="P20" s="162"/>
      <c r="Q20" s="161"/>
      <c r="R20" s="167">
        <v>345.3</v>
      </c>
      <c r="S20" s="166">
        <f t="shared" si="4"/>
        <v>345.3</v>
      </c>
      <c r="T20" s="181"/>
      <c r="U20" s="172">
        <f t="shared" si="5"/>
        <v>345.3</v>
      </c>
      <c r="V20" s="170"/>
      <c r="W20" s="165"/>
      <c r="X20" s="167">
        <v>800</v>
      </c>
      <c r="Y20" s="166">
        <f t="shared" si="6"/>
        <v>800</v>
      </c>
      <c r="Z20" s="181"/>
      <c r="AA20" s="172">
        <f t="shared" si="7"/>
        <v>800</v>
      </c>
      <c r="AB20" s="98">
        <f t="shared" si="8"/>
        <v>0.77669902912621358</v>
      </c>
      <c r="AC20" s="2"/>
      <c r="AD20" s="2"/>
    </row>
    <row r="21" spans="1:30" x14ac:dyDescent="0.25">
      <c r="A21" s="2"/>
      <c r="B21" s="12" t="s">
        <v>9</v>
      </c>
      <c r="C21" s="84" t="s">
        <v>46</v>
      </c>
      <c r="D21" s="15"/>
      <c r="E21" s="13"/>
      <c r="F21" s="167">
        <v>232.6</v>
      </c>
      <c r="G21" s="166">
        <f t="shared" ref="G21:G22" si="9">SUM(D21:F21)</f>
        <v>232.6</v>
      </c>
      <c r="H21" s="181"/>
      <c r="I21" s="11">
        <f>G21+H21</f>
        <v>232.6</v>
      </c>
      <c r="J21" s="122"/>
      <c r="K21" s="117">
        <v>445</v>
      </c>
      <c r="L21" s="125">
        <v>75</v>
      </c>
      <c r="M21" s="118">
        <f t="shared" si="0"/>
        <v>520</v>
      </c>
      <c r="N21" s="115"/>
      <c r="O21" s="116">
        <f t="shared" si="3"/>
        <v>520</v>
      </c>
      <c r="P21" s="162"/>
      <c r="Q21" s="161"/>
      <c r="R21" s="167">
        <v>199.9</v>
      </c>
      <c r="S21" s="166">
        <f t="shared" si="4"/>
        <v>199.9</v>
      </c>
      <c r="T21" s="181"/>
      <c r="U21" s="172">
        <f t="shared" si="5"/>
        <v>199.9</v>
      </c>
      <c r="V21" s="170"/>
      <c r="W21" s="165"/>
      <c r="X21" s="167">
        <v>80</v>
      </c>
      <c r="Y21" s="166">
        <f t="shared" si="6"/>
        <v>80</v>
      </c>
      <c r="Z21" s="181">
        <v>211</v>
      </c>
      <c r="AA21" s="172">
        <f t="shared" si="7"/>
        <v>291</v>
      </c>
      <c r="AB21" s="98">
        <f t="shared" si="8"/>
        <v>0.55961538461538463</v>
      </c>
      <c r="AC21" s="2"/>
      <c r="AD21" s="2"/>
    </row>
    <row r="22" spans="1:30" x14ac:dyDescent="0.25">
      <c r="A22" s="2"/>
      <c r="B22" s="12" t="s">
        <v>11</v>
      </c>
      <c r="C22" s="30" t="s">
        <v>2</v>
      </c>
      <c r="D22" s="15"/>
      <c r="E22" s="13"/>
      <c r="F22" s="167">
        <f>562.9+122.7</f>
        <v>685.6</v>
      </c>
      <c r="G22" s="166">
        <f t="shared" si="9"/>
        <v>685.6</v>
      </c>
      <c r="H22" s="171">
        <v>221.3</v>
      </c>
      <c r="I22" s="11">
        <f>G22+H22</f>
        <v>906.90000000000009</v>
      </c>
      <c r="J22" s="122"/>
      <c r="K22" s="117"/>
      <c r="L22" s="125">
        <v>465</v>
      </c>
      <c r="M22" s="118">
        <f t="shared" si="0"/>
        <v>465</v>
      </c>
      <c r="N22" s="126">
        <v>229.6</v>
      </c>
      <c r="O22" s="116">
        <f>M22+N22</f>
        <v>694.6</v>
      </c>
      <c r="P22" s="170"/>
      <c r="Q22" s="165"/>
      <c r="R22" s="167">
        <f>166.2+201.3</f>
        <v>367.5</v>
      </c>
      <c r="S22" s="166">
        <f t="shared" si="4"/>
        <v>367.5</v>
      </c>
      <c r="T22" s="171">
        <v>100.8</v>
      </c>
      <c r="U22" s="172">
        <f>S22+T22</f>
        <v>468.3</v>
      </c>
      <c r="V22" s="170"/>
      <c r="W22" s="165"/>
      <c r="X22" s="167">
        <v>583</v>
      </c>
      <c r="Y22" s="166">
        <f t="shared" si="6"/>
        <v>583</v>
      </c>
      <c r="Z22" s="171">
        <v>211</v>
      </c>
      <c r="AA22" s="172">
        <f>Y22+Z22</f>
        <v>794</v>
      </c>
      <c r="AB22" s="98">
        <f t="shared" si="8"/>
        <v>1.1431039447163835</v>
      </c>
      <c r="AC22" s="2"/>
      <c r="AD22" s="2"/>
    </row>
    <row r="23" spans="1:30" x14ac:dyDescent="0.25">
      <c r="A23" s="2"/>
      <c r="B23" s="12" t="s">
        <v>13</v>
      </c>
      <c r="C23" s="30" t="s">
        <v>4</v>
      </c>
      <c r="D23" s="15"/>
      <c r="E23" s="13"/>
      <c r="F23" s="167">
        <v>0</v>
      </c>
      <c r="G23" s="166">
        <f t="shared" si="1"/>
        <v>0</v>
      </c>
      <c r="H23" s="171">
        <v>221.3</v>
      </c>
      <c r="I23" s="11">
        <f t="shared" si="2"/>
        <v>221.3</v>
      </c>
      <c r="J23" s="122"/>
      <c r="K23" s="117"/>
      <c r="L23" s="125"/>
      <c r="M23" s="118">
        <f t="shared" si="0"/>
        <v>0</v>
      </c>
      <c r="N23" s="126">
        <v>229.6</v>
      </c>
      <c r="O23" s="116">
        <f t="shared" ref="O23:O24" si="10">M23+N23</f>
        <v>229.6</v>
      </c>
      <c r="P23" s="170"/>
      <c r="Q23" s="165"/>
      <c r="R23" s="167"/>
      <c r="S23" s="166">
        <f t="shared" si="4"/>
        <v>0</v>
      </c>
      <c r="T23" s="171">
        <v>100.8</v>
      </c>
      <c r="U23" s="172">
        <f t="shared" ref="U23:U24" si="11">S23+T23</f>
        <v>100.8</v>
      </c>
      <c r="V23" s="170"/>
      <c r="W23" s="165"/>
      <c r="X23" s="167"/>
      <c r="Y23" s="166">
        <f t="shared" si="6"/>
        <v>0</v>
      </c>
      <c r="Z23" s="171"/>
      <c r="AA23" s="172">
        <f t="shared" ref="AA23:AA24" si="12">Y23+Z23</f>
        <v>0</v>
      </c>
      <c r="AB23" s="98">
        <f t="shared" si="8"/>
        <v>0</v>
      </c>
      <c r="AC23" s="2"/>
      <c r="AD23" s="2"/>
    </row>
    <row r="24" spans="1:30" ht="15.75" thickBot="1" x14ac:dyDescent="0.3">
      <c r="A24" s="2"/>
      <c r="B24" s="85" t="s">
        <v>15</v>
      </c>
      <c r="C24" s="86" t="s">
        <v>6</v>
      </c>
      <c r="D24" s="18"/>
      <c r="E24" s="19"/>
      <c r="F24" s="168">
        <v>0</v>
      </c>
      <c r="G24" s="169">
        <f t="shared" si="1"/>
        <v>0</v>
      </c>
      <c r="H24" s="175"/>
      <c r="I24" s="20">
        <f t="shared" si="2"/>
        <v>0</v>
      </c>
      <c r="J24" s="127"/>
      <c r="K24" s="128"/>
      <c r="L24" s="129"/>
      <c r="M24" s="130">
        <f t="shared" si="0"/>
        <v>0</v>
      </c>
      <c r="N24" s="131"/>
      <c r="O24" s="132">
        <f t="shared" si="10"/>
        <v>0</v>
      </c>
      <c r="P24" s="173"/>
      <c r="Q24" s="174"/>
      <c r="R24" s="168"/>
      <c r="S24" s="169">
        <f t="shared" si="4"/>
        <v>0</v>
      </c>
      <c r="T24" s="175"/>
      <c r="U24" s="176">
        <f t="shared" si="11"/>
        <v>0</v>
      </c>
      <c r="V24" s="173"/>
      <c r="W24" s="174"/>
      <c r="X24" s="168"/>
      <c r="Y24" s="169">
        <f t="shared" si="6"/>
        <v>0</v>
      </c>
      <c r="Z24" s="175"/>
      <c r="AA24" s="176">
        <f t="shared" si="12"/>
        <v>0</v>
      </c>
      <c r="AB24" s="101" t="e">
        <f t="shared" si="8"/>
        <v>#DIV/0!</v>
      </c>
      <c r="AC24" s="2"/>
      <c r="AD24" s="2"/>
    </row>
    <row r="25" spans="1:30" ht="15.75" thickBot="1" x14ac:dyDescent="0.3">
      <c r="A25" s="2"/>
      <c r="B25" s="21" t="s">
        <v>17</v>
      </c>
      <c r="C25" s="22" t="s">
        <v>8</v>
      </c>
      <c r="D25" s="177">
        <f>SUM(D15:D22)</f>
        <v>7264.0999999999995</v>
      </c>
      <c r="E25" s="178">
        <f>SUM(E15:E22)</f>
        <v>49562.700000000004</v>
      </c>
      <c r="F25" s="178">
        <f>SUM(F15:F22)</f>
        <v>4069.1</v>
      </c>
      <c r="G25" s="179">
        <f>SUM(D25:F25)</f>
        <v>60895.9</v>
      </c>
      <c r="H25" s="180">
        <f>SUM(H15:H22)</f>
        <v>726</v>
      </c>
      <c r="I25" s="180">
        <f>SUM(I15:I22)</f>
        <v>61621.9</v>
      </c>
      <c r="J25" s="133">
        <f>SUM(J15:J22)</f>
        <v>7396.7</v>
      </c>
      <c r="K25" s="134">
        <f>SUM(K15:K22)</f>
        <v>49377.599999999999</v>
      </c>
      <c r="L25" s="134">
        <f>SUM(L15:L22)</f>
        <v>4066</v>
      </c>
      <c r="M25" s="135">
        <f>SUM(J25:L25)</f>
        <v>60840.299999999996</v>
      </c>
      <c r="N25" s="136">
        <f>SUM(N15:N22)</f>
        <v>679.6</v>
      </c>
      <c r="O25" s="136">
        <f>SUM(O15:O22)</f>
        <v>61519.9</v>
      </c>
      <c r="P25" s="177">
        <f>SUM(P15:P22)</f>
        <v>4136.7</v>
      </c>
      <c r="Q25" s="178">
        <f>SUM(Q15:Q22)</f>
        <v>26117.199999999997</v>
      </c>
      <c r="R25" s="178">
        <f>SUM(R15:R22)</f>
        <v>2071.1999999999998</v>
      </c>
      <c r="S25" s="179">
        <f>SUM(P25:R25)</f>
        <v>32325.1</v>
      </c>
      <c r="T25" s="180">
        <f>SUM(T15:T22)</f>
        <v>387.7</v>
      </c>
      <c r="U25" s="180">
        <f>SUM(U15:U22)</f>
        <v>32712.799999999996</v>
      </c>
      <c r="V25" s="177">
        <f>SUM(V15:V22)</f>
        <v>16706</v>
      </c>
      <c r="W25" s="178">
        <f>SUM(W15:W22)</f>
        <v>42075.199999999997</v>
      </c>
      <c r="X25" s="178">
        <f>SUM(X15:X22)</f>
        <v>3613</v>
      </c>
      <c r="Y25" s="179">
        <f>SUM(V25:X25)</f>
        <v>62394.2</v>
      </c>
      <c r="Z25" s="180">
        <f>SUM(Z15:Z22)</f>
        <v>867</v>
      </c>
      <c r="AA25" s="180">
        <f>SUM(AA15:AA22)</f>
        <v>63261.2</v>
      </c>
      <c r="AB25" s="102">
        <f t="shared" si="8"/>
        <v>1.0283046623937944</v>
      </c>
      <c r="AC25" s="2"/>
      <c r="AD25" s="2"/>
    </row>
    <row r="26" spans="1:30" ht="15.75" customHeight="1" thickBot="1" x14ac:dyDescent="0.3">
      <c r="A26" s="2"/>
      <c r="B26" s="23"/>
      <c r="C26" s="24"/>
      <c r="D26" s="275" t="s">
        <v>66</v>
      </c>
      <c r="E26" s="276"/>
      <c r="F26" s="276"/>
      <c r="G26" s="277"/>
      <c r="H26" s="277"/>
      <c r="I26" s="278"/>
      <c r="J26" s="303" t="s">
        <v>66</v>
      </c>
      <c r="K26" s="304"/>
      <c r="L26" s="304"/>
      <c r="M26" s="305"/>
      <c r="N26" s="305"/>
      <c r="O26" s="306"/>
      <c r="P26" s="275" t="s">
        <v>66</v>
      </c>
      <c r="Q26" s="276"/>
      <c r="R26" s="276"/>
      <c r="S26" s="277"/>
      <c r="T26" s="277"/>
      <c r="U26" s="278"/>
      <c r="V26" s="275" t="s">
        <v>66</v>
      </c>
      <c r="W26" s="276"/>
      <c r="X26" s="276"/>
      <c r="Y26" s="277"/>
      <c r="Z26" s="277"/>
      <c r="AA26" s="278"/>
      <c r="AB26" s="264" t="s">
        <v>96</v>
      </c>
      <c r="AC26" s="2"/>
      <c r="AD26" s="2"/>
    </row>
    <row r="27" spans="1:30" ht="15.75" thickBot="1" x14ac:dyDescent="0.3">
      <c r="A27" s="2"/>
      <c r="B27" s="301" t="s">
        <v>37</v>
      </c>
      <c r="C27" s="295" t="s">
        <v>38</v>
      </c>
      <c r="D27" s="267" t="s">
        <v>127</v>
      </c>
      <c r="E27" s="268"/>
      <c r="F27" s="268"/>
      <c r="G27" s="271" t="s">
        <v>62</v>
      </c>
      <c r="H27" s="273" t="s">
        <v>65</v>
      </c>
      <c r="I27" s="269" t="s">
        <v>66</v>
      </c>
      <c r="J27" s="307" t="s">
        <v>67</v>
      </c>
      <c r="K27" s="308"/>
      <c r="L27" s="308"/>
      <c r="M27" s="309" t="s">
        <v>62</v>
      </c>
      <c r="N27" s="311" t="s">
        <v>65</v>
      </c>
      <c r="O27" s="313" t="s">
        <v>66</v>
      </c>
      <c r="P27" s="279" t="s">
        <v>67</v>
      </c>
      <c r="Q27" s="280"/>
      <c r="R27" s="280"/>
      <c r="S27" s="241" t="s">
        <v>62</v>
      </c>
      <c r="T27" s="281" t="s">
        <v>65</v>
      </c>
      <c r="U27" s="261" t="s">
        <v>66</v>
      </c>
      <c r="V27" s="267" t="s">
        <v>127</v>
      </c>
      <c r="W27" s="268"/>
      <c r="X27" s="268"/>
      <c r="Y27" s="271" t="s">
        <v>62</v>
      </c>
      <c r="Z27" s="273" t="s">
        <v>65</v>
      </c>
      <c r="AA27" s="269" t="s">
        <v>66</v>
      </c>
      <c r="AB27" s="265"/>
      <c r="AC27" s="2"/>
      <c r="AD27" s="2"/>
    </row>
    <row r="28" spans="1:30" ht="15.75" thickBot="1" x14ac:dyDescent="0.3">
      <c r="A28" s="2"/>
      <c r="B28" s="302"/>
      <c r="C28" s="296"/>
      <c r="D28" s="201" t="s">
        <v>53</v>
      </c>
      <c r="E28" s="202" t="s">
        <v>54</v>
      </c>
      <c r="F28" s="203" t="s">
        <v>55</v>
      </c>
      <c r="G28" s="272"/>
      <c r="H28" s="274"/>
      <c r="I28" s="270"/>
      <c r="J28" s="137" t="s">
        <v>53</v>
      </c>
      <c r="K28" s="138" t="s">
        <v>54</v>
      </c>
      <c r="L28" s="139" t="s">
        <v>55</v>
      </c>
      <c r="M28" s="310"/>
      <c r="N28" s="312"/>
      <c r="O28" s="314"/>
      <c r="P28" s="25" t="s">
        <v>53</v>
      </c>
      <c r="Q28" s="26" t="s">
        <v>54</v>
      </c>
      <c r="R28" s="27" t="s">
        <v>55</v>
      </c>
      <c r="S28" s="242"/>
      <c r="T28" s="282"/>
      <c r="U28" s="262"/>
      <c r="V28" s="201" t="s">
        <v>53</v>
      </c>
      <c r="W28" s="202" t="s">
        <v>54</v>
      </c>
      <c r="X28" s="203" t="s">
        <v>55</v>
      </c>
      <c r="Y28" s="272"/>
      <c r="Z28" s="274"/>
      <c r="AA28" s="270"/>
      <c r="AB28" s="266"/>
      <c r="AC28" s="2"/>
      <c r="AD28" s="2"/>
    </row>
    <row r="29" spans="1:30" x14ac:dyDescent="0.25">
      <c r="A29" s="2"/>
      <c r="B29" s="28" t="s">
        <v>19</v>
      </c>
      <c r="C29" s="29" t="s">
        <v>10</v>
      </c>
      <c r="D29" s="184">
        <v>469.6</v>
      </c>
      <c r="E29" s="184">
        <v>0</v>
      </c>
      <c r="F29" s="184">
        <v>0</v>
      </c>
      <c r="G29" s="185">
        <f>SUM(D29:F29)</f>
        <v>469.6</v>
      </c>
      <c r="H29" s="185"/>
      <c r="I29" s="186">
        <f>G29+H29</f>
        <v>469.6</v>
      </c>
      <c r="J29" s="147">
        <v>220.5</v>
      </c>
      <c r="K29" s="148"/>
      <c r="L29" s="148"/>
      <c r="M29" s="140">
        <f>SUM(J29:L29)</f>
        <v>220.5</v>
      </c>
      <c r="N29" s="140">
        <v>4</v>
      </c>
      <c r="O29" s="141">
        <f>M29+N29</f>
        <v>224.5</v>
      </c>
      <c r="P29" s="207">
        <v>116.1</v>
      </c>
      <c r="Q29" s="184"/>
      <c r="R29" s="184"/>
      <c r="S29" s="185">
        <f>SUM(P29:R29)</f>
        <v>116.1</v>
      </c>
      <c r="T29" s="185">
        <v>0</v>
      </c>
      <c r="U29" s="186">
        <f>S29+T29</f>
        <v>116.1</v>
      </c>
      <c r="V29" s="207">
        <v>262</v>
      </c>
      <c r="W29" s="184"/>
      <c r="X29" s="184"/>
      <c r="Y29" s="185">
        <f>SUM(V29:X29)</f>
        <v>262</v>
      </c>
      <c r="Z29" s="185">
        <v>10</v>
      </c>
      <c r="AA29" s="186">
        <f>Y29+Z29</f>
        <v>272</v>
      </c>
      <c r="AB29" s="98">
        <f t="shared" ref="AB29:AB42" si="13">(AA29/O29)</f>
        <v>1.2115812917594655</v>
      </c>
      <c r="AC29" s="2"/>
      <c r="AD29" s="2"/>
    </row>
    <row r="30" spans="1:30" x14ac:dyDescent="0.25">
      <c r="A30" s="2"/>
      <c r="B30" s="12" t="s">
        <v>20</v>
      </c>
      <c r="C30" s="30" t="s">
        <v>12</v>
      </c>
      <c r="D30" s="187">
        <f>683.6+9+20.7</f>
        <v>713.30000000000007</v>
      </c>
      <c r="E30" s="187">
        <f>485.2+135.6</f>
        <v>620.79999999999995</v>
      </c>
      <c r="F30" s="187">
        <v>2284.8000000000002</v>
      </c>
      <c r="G30" s="188">
        <f t="shared" ref="G30:G39" si="14">SUM(D30:F30)</f>
        <v>3618.9</v>
      </c>
      <c r="H30" s="188">
        <v>326.5</v>
      </c>
      <c r="I30" s="172">
        <f t="shared" ref="I30:I39" si="15">G30+H30</f>
        <v>3945.4</v>
      </c>
      <c r="J30" s="149">
        <v>646</v>
      </c>
      <c r="K30" s="150">
        <v>337.1</v>
      </c>
      <c r="L30" s="150">
        <v>2663</v>
      </c>
      <c r="M30" s="142">
        <f t="shared" ref="M30:M39" si="16">SUM(J30:L30)</f>
        <v>3646.1</v>
      </c>
      <c r="N30" s="142">
        <v>290</v>
      </c>
      <c r="O30" s="116">
        <f t="shared" ref="O30:O39" si="17">M30+N30</f>
        <v>3936.1</v>
      </c>
      <c r="P30" s="208">
        <v>322.89999999999998</v>
      </c>
      <c r="Q30" s="187">
        <f>60.5+303.3</f>
        <v>363.8</v>
      </c>
      <c r="R30" s="187">
        <v>1251.3</v>
      </c>
      <c r="S30" s="188">
        <f t="shared" ref="S30:S39" si="18">SUM(P30:R30)</f>
        <v>1938</v>
      </c>
      <c r="T30" s="188">
        <v>186.9</v>
      </c>
      <c r="U30" s="172">
        <f t="shared" ref="U30:U39" si="19">S30+T30</f>
        <v>2124.9</v>
      </c>
      <c r="V30" s="208">
        <f>716.5+500+15+100+50</f>
        <v>1381.5</v>
      </c>
      <c r="W30" s="187">
        <v>26</v>
      </c>
      <c r="X30" s="187">
        <v>2348</v>
      </c>
      <c r="Y30" s="188">
        <f t="shared" ref="Y30:Y39" si="20">SUM(V30:X30)</f>
        <v>3755.5</v>
      </c>
      <c r="Z30" s="188">
        <v>471</v>
      </c>
      <c r="AA30" s="172">
        <f t="shared" ref="AA30:AA39" si="21">Y30+Z30</f>
        <v>4226.5</v>
      </c>
      <c r="AB30" s="98">
        <f t="shared" si="13"/>
        <v>1.0737786133482381</v>
      </c>
      <c r="AC30" s="2"/>
      <c r="AD30" s="2"/>
    </row>
    <row r="31" spans="1:30" x14ac:dyDescent="0.25">
      <c r="A31" s="2"/>
      <c r="B31" s="12" t="s">
        <v>22</v>
      </c>
      <c r="C31" s="30" t="s">
        <v>14</v>
      </c>
      <c r="D31" s="187">
        <v>2854.8</v>
      </c>
      <c r="E31" s="187">
        <v>0</v>
      </c>
      <c r="F31" s="187"/>
      <c r="G31" s="188">
        <f t="shared" si="14"/>
        <v>2854.8</v>
      </c>
      <c r="H31" s="188">
        <v>60</v>
      </c>
      <c r="I31" s="172">
        <f t="shared" si="15"/>
        <v>2914.8</v>
      </c>
      <c r="J31" s="149">
        <v>3329.7</v>
      </c>
      <c r="K31" s="150"/>
      <c r="L31" s="150">
        <v>10</v>
      </c>
      <c r="M31" s="142">
        <f t="shared" si="16"/>
        <v>3339.7</v>
      </c>
      <c r="N31" s="142">
        <v>85.8</v>
      </c>
      <c r="O31" s="116">
        <f t="shared" si="17"/>
        <v>3425.5</v>
      </c>
      <c r="P31" s="208">
        <v>1612.6</v>
      </c>
      <c r="Q31" s="187"/>
      <c r="R31" s="187"/>
      <c r="S31" s="188">
        <f t="shared" si="18"/>
        <v>1612.6</v>
      </c>
      <c r="T31" s="188">
        <v>29.9</v>
      </c>
      <c r="U31" s="172">
        <f t="shared" si="19"/>
        <v>1642.5</v>
      </c>
      <c r="V31" s="208">
        <v>3110</v>
      </c>
      <c r="W31" s="187"/>
      <c r="X31" s="187"/>
      <c r="Y31" s="188">
        <f t="shared" si="20"/>
        <v>3110</v>
      </c>
      <c r="Z31" s="188">
        <v>99</v>
      </c>
      <c r="AA31" s="172">
        <f t="shared" si="21"/>
        <v>3209</v>
      </c>
      <c r="AB31" s="98">
        <f t="shared" si="13"/>
        <v>0.93679754780324043</v>
      </c>
      <c r="AC31" s="2"/>
      <c r="AD31" s="2"/>
    </row>
    <row r="32" spans="1:30" x14ac:dyDescent="0.25">
      <c r="A32" s="2"/>
      <c r="B32" s="12" t="s">
        <v>24</v>
      </c>
      <c r="C32" s="30" t="s">
        <v>16</v>
      </c>
      <c r="D32" s="187">
        <f>1517.6+33+17.3</f>
        <v>1567.8999999999999</v>
      </c>
      <c r="E32" s="187">
        <f>114.7+243.5+71.5</f>
        <v>429.7</v>
      </c>
      <c r="F32" s="187">
        <v>8.9</v>
      </c>
      <c r="G32" s="188">
        <f t="shared" si="14"/>
        <v>2006.5</v>
      </c>
      <c r="H32" s="188"/>
      <c r="I32" s="172">
        <f t="shared" si="15"/>
        <v>2006.5</v>
      </c>
      <c r="J32" s="149">
        <v>1455.5</v>
      </c>
      <c r="K32" s="150">
        <v>320</v>
      </c>
      <c r="L32" s="150">
        <v>70</v>
      </c>
      <c r="M32" s="142">
        <f t="shared" si="16"/>
        <v>1845.5</v>
      </c>
      <c r="N32" s="142">
        <v>15</v>
      </c>
      <c r="O32" s="116">
        <f t="shared" si="17"/>
        <v>1860.5</v>
      </c>
      <c r="P32" s="208">
        <v>766.7</v>
      </c>
      <c r="Q32" s="187">
        <f>110.7+698.6+25.9</f>
        <v>835.2</v>
      </c>
      <c r="R32" s="187">
        <v>94.4</v>
      </c>
      <c r="S32" s="188">
        <f t="shared" si="18"/>
        <v>1696.3000000000002</v>
      </c>
      <c r="T32" s="188">
        <v>0</v>
      </c>
      <c r="U32" s="172">
        <f t="shared" si="19"/>
        <v>1696.3000000000002</v>
      </c>
      <c r="V32" s="208">
        <f>1577.5+90+25</f>
        <v>1692.5</v>
      </c>
      <c r="W32" s="187">
        <v>100</v>
      </c>
      <c r="X32" s="187">
        <v>180</v>
      </c>
      <c r="Y32" s="188">
        <f t="shared" si="20"/>
        <v>1972.5</v>
      </c>
      <c r="Z32" s="188">
        <v>15</v>
      </c>
      <c r="AA32" s="172">
        <f t="shared" si="21"/>
        <v>1987.5</v>
      </c>
      <c r="AB32" s="98">
        <f t="shared" si="13"/>
        <v>1.0682612201021231</v>
      </c>
      <c r="AC32" s="2"/>
      <c r="AD32" s="2"/>
    </row>
    <row r="33" spans="1:30" x14ac:dyDescent="0.25">
      <c r="A33" s="2"/>
      <c r="B33" s="12" t="s">
        <v>26</v>
      </c>
      <c r="C33" s="30" t="s">
        <v>18</v>
      </c>
      <c r="D33" s="204">
        <f>SUM(D34:D35)</f>
        <v>370.8</v>
      </c>
      <c r="E33" s="187">
        <f>SUM(E34:E35)</f>
        <v>35601.600000000006</v>
      </c>
      <c r="F33" s="204">
        <f>SUM(F34:F35)</f>
        <v>1.7</v>
      </c>
      <c r="G33" s="188">
        <f t="shared" si="14"/>
        <v>35974.100000000006</v>
      </c>
      <c r="H33" s="188">
        <f>SUM(H34:H35)</f>
        <v>132</v>
      </c>
      <c r="I33" s="172">
        <f t="shared" si="15"/>
        <v>36106.100000000006</v>
      </c>
      <c r="J33" s="149">
        <f>SUM(J34:J35)</f>
        <v>316.10000000000002</v>
      </c>
      <c r="K33" s="149">
        <f t="shared" ref="K33:L33" si="22">SUM(K34:K35)</f>
        <v>35210.400000000001</v>
      </c>
      <c r="L33" s="149">
        <f t="shared" si="22"/>
        <v>5</v>
      </c>
      <c r="M33" s="142">
        <f t="shared" si="16"/>
        <v>35531.5</v>
      </c>
      <c r="N33" s="142">
        <f>SUM(N34:N35)</f>
        <v>155</v>
      </c>
      <c r="O33" s="116">
        <f t="shared" si="17"/>
        <v>35686.5</v>
      </c>
      <c r="P33" s="189">
        <f>SUM(P34:P35)</f>
        <v>202.1</v>
      </c>
      <c r="Q33" s="189">
        <f t="shared" ref="Q33:R33" si="23">SUM(Q34:Q35)</f>
        <v>18462.400000000001</v>
      </c>
      <c r="R33" s="189">
        <f t="shared" si="23"/>
        <v>0</v>
      </c>
      <c r="S33" s="188">
        <f t="shared" si="18"/>
        <v>18664.5</v>
      </c>
      <c r="T33" s="188">
        <f>SUM(T34:T35)</f>
        <v>75.199999999999989</v>
      </c>
      <c r="U33" s="172">
        <f t="shared" si="19"/>
        <v>18739.7</v>
      </c>
      <c r="V33" s="189">
        <f>SUM(V34:V35)</f>
        <v>6371.7</v>
      </c>
      <c r="W33" s="209">
        <f t="shared" ref="W33:X33" si="24">SUM(W34:W35)</f>
        <v>31143.5</v>
      </c>
      <c r="X33" s="209">
        <f t="shared" si="24"/>
        <v>0</v>
      </c>
      <c r="Y33" s="188">
        <f t="shared" si="20"/>
        <v>37515.199999999997</v>
      </c>
      <c r="Z33" s="188">
        <f>SUM(Z34:Z35)</f>
        <v>148</v>
      </c>
      <c r="AA33" s="172">
        <f t="shared" si="21"/>
        <v>37663.199999999997</v>
      </c>
      <c r="AB33" s="98">
        <f t="shared" si="13"/>
        <v>1.0553906939599007</v>
      </c>
      <c r="AC33" s="2"/>
      <c r="AD33" s="2"/>
    </row>
    <row r="34" spans="1:30" x14ac:dyDescent="0.25">
      <c r="A34" s="2"/>
      <c r="B34" s="12" t="s">
        <v>28</v>
      </c>
      <c r="C34" s="31" t="s">
        <v>105</v>
      </c>
      <c r="D34" s="204">
        <f>161.6+131.4</f>
        <v>293</v>
      </c>
      <c r="E34" s="187">
        <f>27122.5+173.4+5259.7+43.8+1838.5+34.6+430.4+4.4</f>
        <v>34907.300000000003</v>
      </c>
      <c r="F34" s="187">
        <v>1.7</v>
      </c>
      <c r="G34" s="188">
        <f>SUM(D34:F34)</f>
        <v>35202</v>
      </c>
      <c r="H34" s="188">
        <v>68</v>
      </c>
      <c r="I34" s="172">
        <f t="shared" si="15"/>
        <v>35270</v>
      </c>
      <c r="J34" s="149">
        <v>292.10000000000002</v>
      </c>
      <c r="K34" s="150">
        <v>34864</v>
      </c>
      <c r="L34" s="150">
        <v>5</v>
      </c>
      <c r="M34" s="142">
        <f t="shared" si="16"/>
        <v>35161.1</v>
      </c>
      <c r="N34" s="142">
        <v>55</v>
      </c>
      <c r="O34" s="116">
        <f t="shared" si="17"/>
        <v>35216.1</v>
      </c>
      <c r="P34" s="189">
        <f>174</f>
        <v>174</v>
      </c>
      <c r="Q34" s="187">
        <f>16399.2+1519+114.5</f>
        <v>18032.7</v>
      </c>
      <c r="R34" s="187"/>
      <c r="S34" s="188">
        <f t="shared" si="18"/>
        <v>18206.7</v>
      </c>
      <c r="T34" s="188">
        <v>40.4</v>
      </c>
      <c r="U34" s="172">
        <f t="shared" si="19"/>
        <v>18247.100000000002</v>
      </c>
      <c r="V34" s="209">
        <f>6046.4+130.3</f>
        <v>6176.7</v>
      </c>
      <c r="W34" s="187">
        <f>1030.8+494.7+29538</f>
        <v>31063.5</v>
      </c>
      <c r="X34" s="187"/>
      <c r="Y34" s="188">
        <f t="shared" si="20"/>
        <v>37240.199999999997</v>
      </c>
      <c r="Z34" s="188">
        <v>68</v>
      </c>
      <c r="AA34" s="172">
        <f t="shared" si="21"/>
        <v>37308.199999999997</v>
      </c>
      <c r="AB34" s="98">
        <f t="shared" si="13"/>
        <v>1.0594074869164956</v>
      </c>
      <c r="AC34" s="2"/>
      <c r="AD34" s="2"/>
    </row>
    <row r="35" spans="1:30" x14ac:dyDescent="0.25">
      <c r="A35" s="2"/>
      <c r="B35" s="12" t="s">
        <v>30</v>
      </c>
      <c r="C35" s="32" t="s">
        <v>21</v>
      </c>
      <c r="D35" s="204">
        <v>77.8</v>
      </c>
      <c r="E35" s="187">
        <f>61.7+113.3+249.9+142.2+127.2</f>
        <v>694.3</v>
      </c>
      <c r="F35" s="187"/>
      <c r="G35" s="188">
        <f t="shared" si="14"/>
        <v>772.09999999999991</v>
      </c>
      <c r="H35" s="188">
        <v>64</v>
      </c>
      <c r="I35" s="172">
        <f t="shared" si="15"/>
        <v>836.09999999999991</v>
      </c>
      <c r="J35" s="149">
        <v>24</v>
      </c>
      <c r="K35" s="150">
        <v>346.4</v>
      </c>
      <c r="L35" s="150"/>
      <c r="M35" s="142">
        <f>SUM(J35:L35)</f>
        <v>370.4</v>
      </c>
      <c r="N35" s="142">
        <v>100</v>
      </c>
      <c r="O35" s="116">
        <f t="shared" si="17"/>
        <v>470.4</v>
      </c>
      <c r="P35" s="209">
        <v>28.1</v>
      </c>
      <c r="Q35" s="187">
        <f>85.4+272.6+71.7</f>
        <v>429.7</v>
      </c>
      <c r="R35" s="187"/>
      <c r="S35" s="188">
        <f t="shared" si="18"/>
        <v>457.8</v>
      </c>
      <c r="T35" s="188">
        <v>34.799999999999997</v>
      </c>
      <c r="U35" s="172">
        <f t="shared" si="19"/>
        <v>492.6</v>
      </c>
      <c r="V35" s="209">
        <f>40+155</f>
        <v>195</v>
      </c>
      <c r="W35" s="187">
        <v>80</v>
      </c>
      <c r="X35" s="187"/>
      <c r="Y35" s="188">
        <f t="shared" si="20"/>
        <v>275</v>
      </c>
      <c r="Z35" s="188">
        <v>80</v>
      </c>
      <c r="AA35" s="172">
        <f t="shared" si="21"/>
        <v>355</v>
      </c>
      <c r="AB35" s="98">
        <f t="shared" si="13"/>
        <v>0.75467687074829937</v>
      </c>
      <c r="AC35" s="2"/>
      <c r="AD35" s="2"/>
    </row>
    <row r="36" spans="1:30" x14ac:dyDescent="0.25">
      <c r="A36" s="2"/>
      <c r="B36" s="12" t="s">
        <v>32</v>
      </c>
      <c r="C36" s="30" t="s">
        <v>23</v>
      </c>
      <c r="D36" s="205">
        <f>54.6+44.4</f>
        <v>99</v>
      </c>
      <c r="E36" s="187">
        <f>10841.3+621.4+145.5</f>
        <v>11608.199999999999</v>
      </c>
      <c r="F36" s="187">
        <v>0.6</v>
      </c>
      <c r="G36" s="188">
        <f t="shared" si="14"/>
        <v>11707.8</v>
      </c>
      <c r="H36" s="188">
        <v>23</v>
      </c>
      <c r="I36" s="172">
        <f t="shared" si="15"/>
        <v>11730.8</v>
      </c>
      <c r="J36" s="149">
        <v>98.7</v>
      </c>
      <c r="K36" s="150">
        <v>11725.6</v>
      </c>
      <c r="L36" s="150">
        <v>130</v>
      </c>
      <c r="M36" s="142">
        <f t="shared" ref="M36" si="25">SUM(J36:L36)</f>
        <v>11954.300000000001</v>
      </c>
      <c r="N36" s="142">
        <v>18.899999999999999</v>
      </c>
      <c r="O36" s="116">
        <f t="shared" si="17"/>
        <v>11973.2</v>
      </c>
      <c r="P36" s="209">
        <v>58.8</v>
      </c>
      <c r="Q36" s="187">
        <f>5435.3+496.4+37.3</f>
        <v>5969</v>
      </c>
      <c r="R36" s="187"/>
      <c r="S36" s="188">
        <f t="shared" si="18"/>
        <v>6027.8</v>
      </c>
      <c r="T36" s="188">
        <v>13.6</v>
      </c>
      <c r="U36" s="172">
        <f t="shared" si="19"/>
        <v>6041.4000000000005</v>
      </c>
      <c r="V36" s="209">
        <f>2294.4+44.1</f>
        <v>2338.5</v>
      </c>
      <c r="W36" s="187">
        <f>165.5+344.1+9983.8</f>
        <v>10493.4</v>
      </c>
      <c r="X36" s="187"/>
      <c r="Y36" s="188">
        <f t="shared" si="20"/>
        <v>12831.9</v>
      </c>
      <c r="Z36" s="188"/>
      <c r="AA36" s="172">
        <f t="shared" si="21"/>
        <v>12831.9</v>
      </c>
      <c r="AB36" s="98">
        <f t="shared" si="13"/>
        <v>1.0717185046604081</v>
      </c>
      <c r="AC36" s="2"/>
      <c r="AD36" s="2"/>
    </row>
    <row r="37" spans="1:30" x14ac:dyDescent="0.25">
      <c r="A37" s="2"/>
      <c r="B37" s="12" t="s">
        <v>33</v>
      </c>
      <c r="C37" s="30" t="s">
        <v>25</v>
      </c>
      <c r="D37" s="187">
        <v>0</v>
      </c>
      <c r="E37" s="187"/>
      <c r="F37" s="187">
        <v>118.2</v>
      </c>
      <c r="G37" s="188">
        <f t="shared" si="14"/>
        <v>118.2</v>
      </c>
      <c r="H37" s="188"/>
      <c r="I37" s="172">
        <f t="shared" si="15"/>
        <v>118.2</v>
      </c>
      <c r="J37" s="149"/>
      <c r="K37" s="150"/>
      <c r="L37" s="150"/>
      <c r="M37" s="142">
        <f t="shared" si="16"/>
        <v>0</v>
      </c>
      <c r="N37" s="142"/>
      <c r="O37" s="116">
        <f t="shared" si="17"/>
        <v>0</v>
      </c>
      <c r="P37" s="208"/>
      <c r="Q37" s="187"/>
      <c r="R37" s="187">
        <v>34.9</v>
      </c>
      <c r="S37" s="188">
        <f t="shared" si="18"/>
        <v>34.9</v>
      </c>
      <c r="T37" s="188">
        <v>0</v>
      </c>
      <c r="U37" s="172">
        <f t="shared" si="19"/>
        <v>34.9</v>
      </c>
      <c r="V37" s="208"/>
      <c r="W37" s="187"/>
      <c r="X37" s="187">
        <v>71</v>
      </c>
      <c r="Y37" s="188">
        <f t="shared" si="20"/>
        <v>71</v>
      </c>
      <c r="Z37" s="188">
        <v>23.4</v>
      </c>
      <c r="AA37" s="172">
        <f t="shared" si="21"/>
        <v>94.4</v>
      </c>
      <c r="AB37" s="98" t="e">
        <f t="shared" si="13"/>
        <v>#DIV/0!</v>
      </c>
      <c r="AC37" s="2"/>
      <c r="AD37" s="2"/>
    </row>
    <row r="38" spans="1:30" x14ac:dyDescent="0.25">
      <c r="A38" s="2"/>
      <c r="B38" s="12" t="s">
        <v>34</v>
      </c>
      <c r="C38" s="30" t="s">
        <v>27</v>
      </c>
      <c r="D38" s="187">
        <v>951.1</v>
      </c>
      <c r="E38" s="187"/>
      <c r="F38" s="187">
        <v>1000.9</v>
      </c>
      <c r="G38" s="188">
        <f t="shared" si="14"/>
        <v>1952</v>
      </c>
      <c r="H38" s="188"/>
      <c r="I38" s="172">
        <f t="shared" si="15"/>
        <v>1952</v>
      </c>
      <c r="J38" s="149">
        <v>996.4</v>
      </c>
      <c r="K38" s="150"/>
      <c r="L38" s="150">
        <v>1030</v>
      </c>
      <c r="M38" s="142">
        <f t="shared" si="16"/>
        <v>2026.4</v>
      </c>
      <c r="N38" s="142"/>
      <c r="O38" s="116">
        <f t="shared" si="17"/>
        <v>2026.4</v>
      </c>
      <c r="P38" s="208">
        <v>461.4</v>
      </c>
      <c r="Q38" s="187"/>
      <c r="R38" s="187">
        <v>345.3</v>
      </c>
      <c r="S38" s="188">
        <f t="shared" si="18"/>
        <v>806.7</v>
      </c>
      <c r="T38" s="188">
        <v>0</v>
      </c>
      <c r="U38" s="172">
        <f t="shared" si="19"/>
        <v>806.7</v>
      </c>
      <c r="V38" s="208">
        <v>1022.5</v>
      </c>
      <c r="W38" s="187"/>
      <c r="X38" s="187">
        <v>800</v>
      </c>
      <c r="Y38" s="188">
        <f t="shared" si="20"/>
        <v>1822.5</v>
      </c>
      <c r="Z38" s="188"/>
      <c r="AA38" s="172">
        <f t="shared" si="21"/>
        <v>1822.5</v>
      </c>
      <c r="AB38" s="98">
        <f t="shared" si="13"/>
        <v>0.89937820765890242</v>
      </c>
      <c r="AC38" s="2"/>
      <c r="AD38" s="2"/>
    </row>
    <row r="39" spans="1:30" ht="15.75" thickBot="1" x14ac:dyDescent="0.3">
      <c r="A39" s="2"/>
      <c r="B39" s="17" t="s">
        <v>35</v>
      </c>
      <c r="C39" s="61" t="s">
        <v>29</v>
      </c>
      <c r="D39" s="206">
        <f>73.6+161.1+1.9+55.3+40.5+9</f>
        <v>341.4</v>
      </c>
      <c r="E39" s="206">
        <f>13.8+401.9+191.3+140.5+5.1+65.7+133.3+6.9+8.5+56.1+1.8+1.5+460.9</f>
        <v>1487.3000000000002</v>
      </c>
      <c r="F39" s="206">
        <f>35.8+281.2</f>
        <v>317</v>
      </c>
      <c r="G39" s="188">
        <f t="shared" si="14"/>
        <v>2145.7000000000003</v>
      </c>
      <c r="H39" s="190">
        <v>0.6</v>
      </c>
      <c r="I39" s="176">
        <f t="shared" si="15"/>
        <v>2146.3000000000002</v>
      </c>
      <c r="J39" s="151">
        <v>333.8</v>
      </c>
      <c r="K39" s="152">
        <v>1784.5</v>
      </c>
      <c r="L39" s="152">
        <v>158</v>
      </c>
      <c r="M39" s="143">
        <f t="shared" si="16"/>
        <v>2276.3000000000002</v>
      </c>
      <c r="N39" s="143">
        <v>110.9</v>
      </c>
      <c r="O39" s="132">
        <f t="shared" si="17"/>
        <v>2387.2000000000003</v>
      </c>
      <c r="P39" s="210">
        <f>34.3+1.2+9.8+85.8+98.3</f>
        <v>229.39999999999998</v>
      </c>
      <c r="Q39" s="206">
        <f>59.6+4.6+76.2+206.1+11.7+0.8+4.5+125+28+2.7+52.8+1+4+(0.2)</f>
        <v>577.20000000000005</v>
      </c>
      <c r="R39" s="206">
        <f>30.1+142.3</f>
        <v>172.4</v>
      </c>
      <c r="S39" s="190">
        <f t="shared" si="18"/>
        <v>979</v>
      </c>
      <c r="T39" s="190">
        <v>0.4</v>
      </c>
      <c r="U39" s="176">
        <f t="shared" si="19"/>
        <v>979.4</v>
      </c>
      <c r="V39" s="210">
        <f>219+41+40+27.5+2+36+50+50+60.5+1.3</f>
        <v>527.29999999999995</v>
      </c>
      <c r="W39" s="206">
        <f>10.3+6.6+295.4</f>
        <v>312.29999999999995</v>
      </c>
      <c r="X39" s="206">
        <v>214</v>
      </c>
      <c r="Y39" s="190">
        <f t="shared" si="20"/>
        <v>1053.5999999999999</v>
      </c>
      <c r="Z39" s="190">
        <v>100.6</v>
      </c>
      <c r="AA39" s="176">
        <f t="shared" si="21"/>
        <v>1154.1999999999998</v>
      </c>
      <c r="AB39" s="101">
        <f t="shared" si="13"/>
        <v>0.4834953083109918</v>
      </c>
      <c r="AC39" s="2"/>
      <c r="AD39" s="2"/>
    </row>
    <row r="40" spans="1:30" ht="15.75" thickBot="1" x14ac:dyDescent="0.3">
      <c r="A40" s="2"/>
      <c r="B40" s="21" t="s">
        <v>47</v>
      </c>
      <c r="C40" s="62" t="s">
        <v>31</v>
      </c>
      <c r="D40" s="191">
        <f>SUM(D36:D39)+SUM(D29:D33)</f>
        <v>7367.9000000000005</v>
      </c>
      <c r="E40" s="191">
        <f>SUM(E36:E39)+SUM(E29:E33)</f>
        <v>49747.600000000006</v>
      </c>
      <c r="F40" s="191">
        <f>SUM(F36:F39)+SUM(F29:F33)</f>
        <v>3732.1000000000004</v>
      </c>
      <c r="G40" s="192">
        <f>SUM(D40:F40)</f>
        <v>60847.600000000006</v>
      </c>
      <c r="H40" s="193">
        <f>SUM(H29:H33)+SUM(H36:H39)</f>
        <v>542.1</v>
      </c>
      <c r="I40" s="194">
        <f>SUM(I36:I39)+SUM(I29:I33)</f>
        <v>61389.700000000012</v>
      </c>
      <c r="J40" s="153">
        <f>SUM(J36:J39)+SUM(J29:J33)</f>
        <v>7396.7</v>
      </c>
      <c r="K40" s="153">
        <f>SUM(K36:K39)+SUM(K29:K33)</f>
        <v>49377.599999999999</v>
      </c>
      <c r="L40" s="153">
        <f>SUM(L36:L39)+SUM(L29:L33)</f>
        <v>4066</v>
      </c>
      <c r="M40" s="144">
        <f>SUM(J40:L40)</f>
        <v>60840.299999999996</v>
      </c>
      <c r="N40" s="145">
        <f>SUM(N29:N33)+SUM(N36:N39)</f>
        <v>679.59999999999991</v>
      </c>
      <c r="O40" s="146">
        <f>SUM(O36:O39)+SUM(O29:O33)</f>
        <v>61519.899999999994</v>
      </c>
      <c r="P40" s="191">
        <f>SUM(P36:P39)+SUM(P29:P33)</f>
        <v>3770</v>
      </c>
      <c r="Q40" s="191">
        <f>SUM(Q36:Q39)+SUM(Q29:Q33)</f>
        <v>26207.600000000002</v>
      </c>
      <c r="R40" s="191">
        <f>SUM(R36:R39)+SUM(R29:R33)</f>
        <v>1898.3000000000002</v>
      </c>
      <c r="S40" s="192">
        <f>SUM(P40:R40)</f>
        <v>31875.9</v>
      </c>
      <c r="T40" s="193">
        <f>SUM(T29:T33)+SUM(T36:T39)</f>
        <v>306</v>
      </c>
      <c r="U40" s="194">
        <f>SUM(U36:U39)+SUM(U29:U33)</f>
        <v>32181.9</v>
      </c>
      <c r="V40" s="191">
        <f>SUM(V36:V39)+SUM(V29:V33)</f>
        <v>16706</v>
      </c>
      <c r="W40" s="191">
        <f>SUM(W36:W39)+SUM(W29:W33)</f>
        <v>42075.199999999997</v>
      </c>
      <c r="X40" s="191">
        <f>SUM(X36:X39)+SUM(X29:X33)</f>
        <v>3613</v>
      </c>
      <c r="Y40" s="97">
        <f>SUM(V40:X40)</f>
        <v>62394.2</v>
      </c>
      <c r="Z40" s="33">
        <f>SUM(Z29:Z33)+SUM(Z36:Z39)</f>
        <v>867</v>
      </c>
      <c r="AA40" s="34">
        <f>SUM(AA36:AA39)+SUM(AA29:AA33)</f>
        <v>63261.2</v>
      </c>
      <c r="AB40" s="103">
        <f t="shared" si="13"/>
        <v>1.0283046623937946</v>
      </c>
      <c r="AC40" s="2"/>
      <c r="AD40" s="2"/>
    </row>
    <row r="41" spans="1:30" ht="19.5" thickBot="1" x14ac:dyDescent="0.35">
      <c r="A41" s="2"/>
      <c r="B41" s="66" t="s">
        <v>48</v>
      </c>
      <c r="C41" s="67" t="s">
        <v>50</v>
      </c>
      <c r="D41" s="68">
        <f t="shared" ref="D41:AA41" si="26">D25-D40</f>
        <v>-103.80000000000109</v>
      </c>
      <c r="E41" s="68">
        <f t="shared" si="26"/>
        <v>-184.90000000000146</v>
      </c>
      <c r="F41" s="68">
        <f t="shared" si="26"/>
        <v>336.99999999999955</v>
      </c>
      <c r="G41" s="77">
        <f t="shared" si="26"/>
        <v>48.299999999995634</v>
      </c>
      <c r="H41" s="77">
        <f t="shared" si="26"/>
        <v>183.89999999999998</v>
      </c>
      <c r="I41" s="78">
        <f t="shared" si="26"/>
        <v>232.19999999998981</v>
      </c>
      <c r="J41" s="68">
        <f t="shared" si="26"/>
        <v>0</v>
      </c>
      <c r="K41" s="68">
        <f t="shared" si="26"/>
        <v>0</v>
      </c>
      <c r="L41" s="68">
        <f t="shared" si="26"/>
        <v>0</v>
      </c>
      <c r="M41" s="109">
        <f t="shared" si="26"/>
        <v>0</v>
      </c>
      <c r="N41" s="109">
        <f t="shared" si="26"/>
        <v>0</v>
      </c>
      <c r="O41" s="110">
        <f t="shared" si="26"/>
        <v>0</v>
      </c>
      <c r="P41" s="195">
        <f t="shared" si="26"/>
        <v>366.69999999999982</v>
      </c>
      <c r="Q41" s="196">
        <f t="shared" si="26"/>
        <v>-90.400000000005093</v>
      </c>
      <c r="R41" s="68">
        <f t="shared" si="26"/>
        <v>172.89999999999964</v>
      </c>
      <c r="S41" s="77">
        <f t="shared" si="26"/>
        <v>449.19999999999709</v>
      </c>
      <c r="T41" s="77">
        <f t="shared" si="26"/>
        <v>81.699999999999989</v>
      </c>
      <c r="U41" s="78">
        <f t="shared" si="26"/>
        <v>530.89999999999418</v>
      </c>
      <c r="V41" s="195">
        <f t="shared" si="26"/>
        <v>0</v>
      </c>
      <c r="W41" s="195">
        <f>W25-W40</f>
        <v>0</v>
      </c>
      <c r="X41" s="195">
        <f t="shared" si="26"/>
        <v>0</v>
      </c>
      <c r="Y41" s="77">
        <f t="shared" si="26"/>
        <v>0</v>
      </c>
      <c r="Z41" s="77">
        <f t="shared" si="26"/>
        <v>0</v>
      </c>
      <c r="AA41" s="78">
        <f t="shared" si="26"/>
        <v>0</v>
      </c>
      <c r="AB41" s="104" t="e">
        <f t="shared" si="13"/>
        <v>#DIV/0!</v>
      </c>
      <c r="AC41" s="2"/>
      <c r="AD41" s="2"/>
    </row>
    <row r="42" spans="1:30" ht="15.75" thickBot="1" x14ac:dyDescent="0.3">
      <c r="A42" s="2"/>
      <c r="B42" s="69" t="s">
        <v>49</v>
      </c>
      <c r="C42" s="70" t="s">
        <v>63</v>
      </c>
      <c r="D42" s="71"/>
      <c r="E42" s="72"/>
      <c r="F42" s="72"/>
      <c r="G42" s="73"/>
      <c r="H42" s="74"/>
      <c r="I42" s="75">
        <f>I41-D16</f>
        <v>-6551.00000000001</v>
      </c>
      <c r="J42" s="71"/>
      <c r="K42" s="72"/>
      <c r="L42" s="72"/>
      <c r="M42" s="73"/>
      <c r="N42" s="76"/>
      <c r="O42" s="75">
        <f>O41-J16</f>
        <v>-7000</v>
      </c>
      <c r="P42" s="71"/>
      <c r="Q42" s="72"/>
      <c r="R42" s="72"/>
      <c r="S42" s="73"/>
      <c r="T42" s="76"/>
      <c r="U42" s="75">
        <f>U41-P16</f>
        <v>-3209.1000000000058</v>
      </c>
      <c r="V42" s="71"/>
      <c r="W42" s="72"/>
      <c r="X42" s="72"/>
      <c r="Y42" s="73"/>
      <c r="Z42" s="76"/>
      <c r="AA42" s="75">
        <f>AA41-V16</f>
        <v>-7234</v>
      </c>
      <c r="AB42" s="98">
        <f t="shared" si="13"/>
        <v>1.0334285714285714</v>
      </c>
      <c r="AC42" s="2"/>
      <c r="AD42" s="2"/>
    </row>
    <row r="43" spans="1:30" ht="8.25" customHeight="1" thickBot="1" x14ac:dyDescent="0.3">
      <c r="A43" s="2"/>
      <c r="B43" s="52"/>
      <c r="C43" s="38"/>
      <c r="D43" s="53"/>
      <c r="E43" s="39"/>
      <c r="F43" s="39"/>
      <c r="G43" s="2"/>
      <c r="H43" s="39"/>
      <c r="I43" s="39"/>
      <c r="J43" s="53"/>
      <c r="K43" s="39"/>
      <c r="L43" s="39"/>
      <c r="M43" s="2"/>
      <c r="N43" s="39"/>
      <c r="O43" s="39"/>
      <c r="P43" s="39"/>
      <c r="Q43" s="39"/>
      <c r="R43" s="39"/>
      <c r="S43" s="39"/>
      <c r="T43" s="39"/>
      <c r="U43" s="39"/>
      <c r="V43" s="2"/>
      <c r="W43" s="2"/>
      <c r="X43" s="2"/>
      <c r="Y43" s="2"/>
      <c r="Z43" s="2"/>
      <c r="AA43" s="2"/>
      <c r="AB43" s="2"/>
      <c r="AC43" s="2"/>
      <c r="AD43" s="2"/>
    </row>
    <row r="44" spans="1:30" ht="15.75" customHeight="1" thickBot="1" x14ac:dyDescent="0.3">
      <c r="A44" s="2"/>
      <c r="B44" s="52"/>
      <c r="C44" s="292" t="s">
        <v>80</v>
      </c>
      <c r="D44" s="65" t="s">
        <v>41</v>
      </c>
      <c r="E44" s="35" t="s">
        <v>81</v>
      </c>
      <c r="F44" s="36" t="s">
        <v>36</v>
      </c>
      <c r="G44" s="39"/>
      <c r="H44" s="39"/>
      <c r="I44" s="40"/>
      <c r="J44" s="65" t="s">
        <v>41</v>
      </c>
      <c r="K44" s="35" t="s">
        <v>81</v>
      </c>
      <c r="L44" s="36" t="s">
        <v>36</v>
      </c>
      <c r="M44" s="39"/>
      <c r="N44" s="39"/>
      <c r="O44" s="39"/>
      <c r="P44" s="65" t="s">
        <v>41</v>
      </c>
      <c r="Q44" s="35" t="s">
        <v>81</v>
      </c>
      <c r="R44" s="36" t="s">
        <v>36</v>
      </c>
      <c r="S44" s="2"/>
      <c r="T44" s="2"/>
      <c r="U44" s="2"/>
      <c r="V44" s="65" t="s">
        <v>41</v>
      </c>
      <c r="W44" s="35" t="s">
        <v>81</v>
      </c>
      <c r="X44" s="36" t="s">
        <v>36</v>
      </c>
      <c r="Y44" s="2"/>
      <c r="Z44" s="2"/>
      <c r="AA44" s="2"/>
      <c r="AB44" s="2"/>
      <c r="AC44" s="2"/>
      <c r="AD44" s="2"/>
    </row>
    <row r="45" spans="1:30" ht="15.75" thickBot="1" x14ac:dyDescent="0.3">
      <c r="A45" s="2"/>
      <c r="B45" s="52"/>
      <c r="C45" s="293"/>
      <c r="D45" s="55">
        <f>SUM(E45:F45)</f>
        <v>642.1</v>
      </c>
      <c r="E45" s="63">
        <v>642.1</v>
      </c>
      <c r="F45" s="64">
        <v>0</v>
      </c>
      <c r="G45" s="39"/>
      <c r="H45" s="39"/>
      <c r="I45" s="40"/>
      <c r="J45" s="55">
        <f>SUM(K45:L45)</f>
        <v>642.1</v>
      </c>
      <c r="K45" s="63">
        <v>642.1</v>
      </c>
      <c r="L45" s="64">
        <v>0</v>
      </c>
      <c r="M45" s="54"/>
      <c r="N45" s="54"/>
      <c r="O45" s="54"/>
      <c r="P45" s="231">
        <f>SUM(Q45:R45)</f>
        <v>321</v>
      </c>
      <c r="Q45" s="63">
        <v>321</v>
      </c>
      <c r="R45" s="64">
        <v>0</v>
      </c>
      <c r="S45" s="2"/>
      <c r="T45" s="2"/>
      <c r="U45" s="2"/>
      <c r="V45" s="55">
        <f>SUM(W45:X45)</f>
        <v>642.1</v>
      </c>
      <c r="W45" s="232">
        <v>642.1</v>
      </c>
      <c r="X45" s="64">
        <v>0</v>
      </c>
      <c r="Y45" s="2"/>
      <c r="Z45" s="2"/>
      <c r="AA45" s="2"/>
      <c r="AB45" s="2"/>
      <c r="AC45" s="2"/>
      <c r="AD45" s="2"/>
    </row>
    <row r="46" spans="1:30" ht="8.25" customHeight="1" thickBot="1" x14ac:dyDescent="0.3">
      <c r="A46" s="2"/>
      <c r="B46" s="52"/>
      <c r="C46" s="38"/>
      <c r="D46" s="54"/>
      <c r="E46" s="39"/>
      <c r="F46" s="39"/>
      <c r="G46" s="39"/>
      <c r="H46" s="39"/>
      <c r="I46" s="40"/>
      <c r="J46" s="39"/>
      <c r="K46" s="39"/>
      <c r="L46" s="39"/>
      <c r="M46" s="39"/>
      <c r="N46" s="39"/>
      <c r="O46" s="40"/>
      <c r="P46" s="40"/>
      <c r="Q46" s="40"/>
      <c r="R46" s="40"/>
      <c r="S46" s="40"/>
      <c r="T46" s="40"/>
      <c r="U46" s="40"/>
      <c r="V46" s="2"/>
      <c r="W46" s="2"/>
      <c r="X46" s="2"/>
      <c r="Y46" s="2"/>
      <c r="Z46" s="2"/>
      <c r="AA46" s="2"/>
      <c r="AB46" s="2"/>
      <c r="AC46" s="2"/>
      <c r="AD46" s="2"/>
    </row>
    <row r="47" spans="1:30" ht="37.5" customHeight="1" thickBot="1" x14ac:dyDescent="0.3">
      <c r="A47" s="2"/>
      <c r="B47" s="52"/>
      <c r="C47" s="292" t="s">
        <v>83</v>
      </c>
      <c r="D47" s="56" t="s">
        <v>84</v>
      </c>
      <c r="E47" s="57" t="s">
        <v>82</v>
      </c>
      <c r="F47" s="39"/>
      <c r="G47" s="39"/>
      <c r="H47" s="39"/>
      <c r="I47" s="40"/>
      <c r="J47" s="56" t="s">
        <v>84</v>
      </c>
      <c r="K47" s="57" t="s">
        <v>82</v>
      </c>
      <c r="L47" s="99"/>
      <c r="M47" s="99"/>
      <c r="N47" s="2"/>
      <c r="O47" s="2"/>
      <c r="P47" s="56" t="s">
        <v>84</v>
      </c>
      <c r="Q47" s="57" t="s">
        <v>82</v>
      </c>
      <c r="R47" s="2"/>
      <c r="S47" s="2"/>
      <c r="T47" s="2"/>
      <c r="U47" s="2"/>
      <c r="V47" s="56" t="s">
        <v>84</v>
      </c>
      <c r="W47" s="57" t="s">
        <v>82</v>
      </c>
      <c r="X47" s="2"/>
      <c r="Y47" s="2"/>
      <c r="Z47" s="2"/>
      <c r="AA47" s="2"/>
      <c r="AB47" s="2"/>
      <c r="AC47" s="2"/>
      <c r="AD47" s="2"/>
    </row>
    <row r="48" spans="1:30" ht="15.75" thickBot="1" x14ac:dyDescent="0.3">
      <c r="A48" s="2"/>
      <c r="B48" s="37"/>
      <c r="C48" s="294"/>
      <c r="D48" s="55">
        <v>0</v>
      </c>
      <c r="E48" s="58">
        <v>0</v>
      </c>
      <c r="F48" s="39"/>
      <c r="G48" s="39"/>
      <c r="H48" s="39"/>
      <c r="I48" s="40"/>
      <c r="J48" s="55">
        <v>0</v>
      </c>
      <c r="K48" s="58">
        <v>0</v>
      </c>
      <c r="L48" s="100"/>
      <c r="M48" s="100"/>
      <c r="N48" s="2"/>
      <c r="O48" s="2"/>
      <c r="P48" s="55">
        <v>0</v>
      </c>
      <c r="Q48" s="58">
        <v>0</v>
      </c>
      <c r="R48" s="2"/>
      <c r="S48" s="2"/>
      <c r="T48" s="2"/>
      <c r="U48" s="2"/>
      <c r="V48" s="55">
        <v>0</v>
      </c>
      <c r="W48" s="58">
        <v>0</v>
      </c>
      <c r="X48" s="2"/>
      <c r="Y48" s="2"/>
      <c r="Z48" s="2"/>
      <c r="AA48" s="2"/>
      <c r="AB48" s="2"/>
      <c r="AC48" s="2"/>
      <c r="AD48" s="2"/>
    </row>
    <row r="49" spans="1:30" x14ac:dyDescent="0.25">
      <c r="A49" s="2"/>
      <c r="B49" s="37"/>
      <c r="C49" s="38"/>
      <c r="D49" s="39"/>
      <c r="E49" s="39"/>
      <c r="F49" s="39"/>
      <c r="G49" s="39"/>
      <c r="H49" s="39"/>
      <c r="I49" s="40"/>
      <c r="J49" s="39"/>
      <c r="K49" s="39"/>
      <c r="L49" s="39"/>
      <c r="M49" s="39"/>
      <c r="N49" s="39"/>
      <c r="O49" s="40"/>
      <c r="P49" s="40"/>
      <c r="Q49" s="40"/>
      <c r="R49" s="40"/>
      <c r="S49" s="40"/>
      <c r="T49" s="40"/>
      <c r="U49" s="40"/>
      <c r="V49" s="2"/>
      <c r="W49" s="2"/>
      <c r="X49" s="2"/>
      <c r="Y49" s="2"/>
      <c r="Z49" s="2"/>
      <c r="AA49" s="2"/>
      <c r="AB49" s="2"/>
      <c r="AC49" s="2"/>
      <c r="AD49" s="2"/>
    </row>
    <row r="50" spans="1:30" x14ac:dyDescent="0.25">
      <c r="A50" s="2"/>
      <c r="B50" s="37"/>
      <c r="C50" s="211" t="s">
        <v>79</v>
      </c>
      <c r="D50" s="212" t="s">
        <v>71</v>
      </c>
      <c r="E50" s="212" t="s">
        <v>72</v>
      </c>
      <c r="F50" s="212" t="s">
        <v>88</v>
      </c>
      <c r="G50" s="212" t="s">
        <v>90</v>
      </c>
      <c r="H50" s="213"/>
      <c r="I50" s="5"/>
      <c r="J50" s="212" t="s">
        <v>71</v>
      </c>
      <c r="K50" s="212" t="s">
        <v>72</v>
      </c>
      <c r="L50" s="212" t="s">
        <v>88</v>
      </c>
      <c r="M50" s="212" t="s">
        <v>91</v>
      </c>
      <c r="N50" s="5"/>
      <c r="O50" s="5"/>
      <c r="P50" s="212" t="s">
        <v>71</v>
      </c>
      <c r="Q50" s="212" t="s">
        <v>72</v>
      </c>
      <c r="R50" s="212" t="s">
        <v>88</v>
      </c>
      <c r="S50" s="212" t="s">
        <v>91</v>
      </c>
      <c r="T50" s="5"/>
      <c r="U50" s="5"/>
      <c r="V50" s="212" t="s">
        <v>92</v>
      </c>
      <c r="W50" s="212" t="s">
        <v>72</v>
      </c>
      <c r="X50" s="212" t="s">
        <v>88</v>
      </c>
      <c r="Y50" s="212" t="s">
        <v>91</v>
      </c>
      <c r="Z50" s="5"/>
      <c r="AA50" s="5"/>
      <c r="AB50" s="5"/>
      <c r="AC50" s="5"/>
      <c r="AD50" s="2"/>
    </row>
    <row r="51" spans="1:30" x14ac:dyDescent="0.25">
      <c r="A51" s="2"/>
      <c r="B51" s="37"/>
      <c r="C51" s="87" t="s">
        <v>68</v>
      </c>
      <c r="D51" s="214">
        <f>SUM(D52:D55)</f>
        <v>6696.3</v>
      </c>
      <c r="E51" s="214">
        <f t="shared" ref="E51:F51" si="27">SUM(E52:E55)</f>
        <v>5243.7000000000007</v>
      </c>
      <c r="F51" s="214">
        <f t="shared" si="27"/>
        <v>5869.4</v>
      </c>
      <c r="G51" s="215">
        <f>D51+E51-F51</f>
        <v>6070.6</v>
      </c>
      <c r="H51" s="213"/>
      <c r="I51" s="5"/>
      <c r="J51" s="215">
        <f>SUM(J52:J55)</f>
        <v>2819.8</v>
      </c>
      <c r="K51" s="215">
        <f>SUM(K52:K55)</f>
        <v>1671</v>
      </c>
      <c r="L51" s="215">
        <f t="shared" ref="L51" si="28">SUM(L52:L55)</f>
        <v>805</v>
      </c>
      <c r="M51" s="215">
        <f>SUM(M52:M55)</f>
        <v>3685.8</v>
      </c>
      <c r="N51" s="5"/>
      <c r="O51" s="5"/>
      <c r="P51" s="214">
        <f>SUM(P52:P55)</f>
        <v>6070.6</v>
      </c>
      <c r="Q51" s="214">
        <f t="shared" ref="Q51:R51" si="29">SUM(Q52:Q55)</f>
        <v>876</v>
      </c>
      <c r="R51" s="214">
        <f t="shared" si="29"/>
        <v>3543</v>
      </c>
      <c r="S51" s="214">
        <f>SUM(S52:S55)</f>
        <v>3403.6000000000004</v>
      </c>
      <c r="T51" s="5"/>
      <c r="U51" s="5"/>
      <c r="V51" s="214">
        <f>SUM(V52:V55)</f>
        <v>3075</v>
      </c>
      <c r="W51" s="214">
        <f t="shared" ref="W51:X51" si="30">SUM(W52:W55)</f>
        <v>2103.3000000000002</v>
      </c>
      <c r="X51" s="214">
        <f t="shared" si="30"/>
        <v>1100</v>
      </c>
      <c r="Y51" s="215">
        <f>V51+W51-X51</f>
        <v>4078.3</v>
      </c>
      <c r="Z51" s="5"/>
      <c r="AA51" s="5"/>
      <c r="AB51" s="5"/>
      <c r="AC51" s="5"/>
      <c r="AD51" s="2"/>
    </row>
    <row r="52" spans="1:30" x14ac:dyDescent="0.25">
      <c r="A52" s="2"/>
      <c r="B52" s="37"/>
      <c r="C52" s="87" t="s">
        <v>69</v>
      </c>
      <c r="D52" s="214">
        <v>5661.6</v>
      </c>
      <c r="E52" s="214">
        <v>3912.8</v>
      </c>
      <c r="F52" s="214">
        <v>4440.8999999999996</v>
      </c>
      <c r="G52" s="215">
        <f>D52+E52-F52</f>
        <v>5133.5000000000018</v>
      </c>
      <c r="H52" s="213"/>
      <c r="I52" s="5"/>
      <c r="J52" s="215">
        <v>1539.8</v>
      </c>
      <c r="K52" s="214">
        <v>300</v>
      </c>
      <c r="L52" s="214">
        <v>400</v>
      </c>
      <c r="M52" s="215">
        <f>J52+K52-L52</f>
        <v>1439.8</v>
      </c>
      <c r="N52" s="5"/>
      <c r="O52" s="5"/>
      <c r="P52" s="214">
        <v>5133.5</v>
      </c>
      <c r="Q52" s="214">
        <v>227.3</v>
      </c>
      <c r="R52" s="214">
        <v>3109.5</v>
      </c>
      <c r="S52" s="215">
        <f>P52+Q52-R52</f>
        <v>2251.3000000000002</v>
      </c>
      <c r="T52" s="5"/>
      <c r="U52" s="5"/>
      <c r="V52" s="214">
        <v>1200</v>
      </c>
      <c r="W52" s="214">
        <f>630+48</f>
        <v>678</v>
      </c>
      <c r="X52" s="214">
        <f>667+29</f>
        <v>696</v>
      </c>
      <c r="Y52" s="215">
        <f>V52+W52-X52</f>
        <v>1182</v>
      </c>
      <c r="Z52" s="5"/>
      <c r="AA52" s="5"/>
      <c r="AB52" s="5"/>
      <c r="AC52" s="5"/>
      <c r="AD52" s="2"/>
    </row>
    <row r="53" spans="1:30" x14ac:dyDescent="0.25">
      <c r="A53" s="2"/>
      <c r="B53" s="37"/>
      <c r="C53" s="87" t="s">
        <v>70</v>
      </c>
      <c r="D53" s="214">
        <v>539.1</v>
      </c>
      <c r="E53" s="214">
        <v>951.1</v>
      </c>
      <c r="F53" s="214">
        <v>846.7</v>
      </c>
      <c r="G53" s="215">
        <f t="shared" ref="G53:G55" si="31">D53+E53-F53</f>
        <v>643.5</v>
      </c>
      <c r="H53" s="213"/>
      <c r="I53" s="5"/>
      <c r="J53" s="215">
        <v>1000</v>
      </c>
      <c r="K53" s="214">
        <v>996</v>
      </c>
      <c r="L53" s="214">
        <v>100</v>
      </c>
      <c r="M53" s="215">
        <f t="shared" ref="M53:M55" si="32">J53+K53-L53</f>
        <v>1896</v>
      </c>
      <c r="N53" s="5"/>
      <c r="O53" s="5"/>
      <c r="P53" s="214">
        <v>643.5</v>
      </c>
      <c r="Q53" s="214">
        <v>461.4</v>
      </c>
      <c r="R53" s="214">
        <v>321</v>
      </c>
      <c r="S53" s="215">
        <f t="shared" ref="S53:S55" si="33">P53+Q53-R53</f>
        <v>783.90000000000009</v>
      </c>
      <c r="T53" s="5"/>
      <c r="U53" s="5"/>
      <c r="V53" s="214">
        <v>1566</v>
      </c>
      <c r="W53" s="214">
        <v>948</v>
      </c>
      <c r="X53" s="214">
        <v>0</v>
      </c>
      <c r="Y53" s="215">
        <f t="shared" ref="Y53:Y55" si="34">V53+W53-X53</f>
        <v>2514</v>
      </c>
      <c r="Z53" s="5"/>
      <c r="AA53" s="5"/>
      <c r="AB53" s="5"/>
      <c r="AC53" s="5"/>
      <c r="AD53" s="2"/>
    </row>
    <row r="54" spans="1:30" x14ac:dyDescent="0.25">
      <c r="A54" s="2"/>
      <c r="B54" s="37"/>
      <c r="C54" s="87" t="s">
        <v>85</v>
      </c>
      <c r="D54" s="214">
        <v>177.7</v>
      </c>
      <c r="E54" s="214">
        <v>27.1</v>
      </c>
      <c r="F54" s="214">
        <v>1.7</v>
      </c>
      <c r="G54" s="215">
        <f t="shared" si="31"/>
        <v>203.1</v>
      </c>
      <c r="H54" s="213"/>
      <c r="I54" s="5"/>
      <c r="J54" s="215">
        <v>200</v>
      </c>
      <c r="K54" s="214">
        <v>25</v>
      </c>
      <c r="L54" s="214">
        <v>5</v>
      </c>
      <c r="M54" s="215">
        <f t="shared" si="32"/>
        <v>220</v>
      </c>
      <c r="N54" s="5"/>
      <c r="O54" s="5"/>
      <c r="P54" s="214">
        <v>203.1</v>
      </c>
      <c r="Q54" s="214">
        <v>5</v>
      </c>
      <c r="R54" s="214">
        <v>0</v>
      </c>
      <c r="S54" s="215">
        <f t="shared" si="33"/>
        <v>208.1</v>
      </c>
      <c r="T54" s="5"/>
      <c r="U54" s="5"/>
      <c r="V54" s="214">
        <v>208</v>
      </c>
      <c r="W54" s="214">
        <v>10</v>
      </c>
      <c r="X54" s="214">
        <v>6</v>
      </c>
      <c r="Y54" s="215">
        <f t="shared" si="34"/>
        <v>212</v>
      </c>
      <c r="Z54" s="5"/>
      <c r="AA54" s="5"/>
      <c r="AB54" s="5"/>
      <c r="AC54" s="5"/>
      <c r="AD54" s="2"/>
    </row>
    <row r="55" spans="1:30" x14ac:dyDescent="0.25">
      <c r="A55" s="2"/>
      <c r="B55" s="37"/>
      <c r="C55" s="87" t="s">
        <v>86</v>
      </c>
      <c r="D55" s="214">
        <v>317.89999999999998</v>
      </c>
      <c r="E55" s="214">
        <v>352.7</v>
      </c>
      <c r="F55" s="214">
        <v>580.1</v>
      </c>
      <c r="G55" s="215">
        <f t="shared" si="31"/>
        <v>90.499999999999886</v>
      </c>
      <c r="H55" s="213"/>
      <c r="I55" s="5"/>
      <c r="J55" s="215">
        <v>80</v>
      </c>
      <c r="K55" s="214">
        <v>350</v>
      </c>
      <c r="L55" s="214">
        <v>300</v>
      </c>
      <c r="M55" s="215">
        <f t="shared" si="32"/>
        <v>130</v>
      </c>
      <c r="N55" s="5"/>
      <c r="O55" s="5"/>
      <c r="P55" s="214">
        <v>90.5</v>
      </c>
      <c r="Q55" s="214">
        <v>182.3</v>
      </c>
      <c r="R55" s="214">
        <v>112.5</v>
      </c>
      <c r="S55" s="215">
        <f t="shared" si="33"/>
        <v>160.30000000000001</v>
      </c>
      <c r="T55" s="5"/>
      <c r="U55" s="5"/>
      <c r="V55" s="214">
        <v>101</v>
      </c>
      <c r="W55" s="214">
        <f>6.6+10.3+295.4+155</f>
        <v>467.29999999999995</v>
      </c>
      <c r="X55" s="214">
        <v>398</v>
      </c>
      <c r="Y55" s="215">
        <f t="shared" si="34"/>
        <v>170.29999999999995</v>
      </c>
      <c r="Z55" s="5"/>
      <c r="AA55" s="5"/>
      <c r="AB55" s="5"/>
      <c r="AC55" s="5"/>
      <c r="AD55" s="2"/>
    </row>
    <row r="56" spans="1:30" ht="10.5" customHeight="1" x14ac:dyDescent="0.25">
      <c r="A56" s="2"/>
      <c r="B56" s="37"/>
      <c r="C56" s="216"/>
      <c r="D56" s="213"/>
      <c r="E56" s="213"/>
      <c r="F56" s="213"/>
      <c r="G56" s="213"/>
      <c r="H56" s="213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2"/>
    </row>
    <row r="57" spans="1:30" x14ac:dyDescent="0.25">
      <c r="A57" s="2"/>
      <c r="B57" s="37"/>
      <c r="C57" s="211" t="s">
        <v>73</v>
      </c>
      <c r="D57" s="212" t="s">
        <v>74</v>
      </c>
      <c r="E57" s="212" t="s">
        <v>93</v>
      </c>
      <c r="F57" s="213"/>
      <c r="G57" s="213"/>
      <c r="H57" s="213"/>
      <c r="I57" s="217"/>
      <c r="J57" s="212" t="s">
        <v>94</v>
      </c>
      <c r="K57" s="213"/>
      <c r="L57" s="213"/>
      <c r="M57" s="213"/>
      <c r="N57" s="213"/>
      <c r="O57" s="217"/>
      <c r="P57" s="212" t="s">
        <v>95</v>
      </c>
      <c r="Q57" s="217"/>
      <c r="R57" s="217"/>
      <c r="S57" s="5"/>
      <c r="T57" s="5"/>
      <c r="U57" s="5"/>
      <c r="V57" s="284" t="s">
        <v>73</v>
      </c>
      <c r="W57" s="284"/>
      <c r="X57" s="284"/>
      <c r="Y57" s="212" t="s">
        <v>94</v>
      </c>
      <c r="Z57" s="5"/>
      <c r="AA57" s="5"/>
      <c r="AB57" s="5"/>
      <c r="AC57" s="5"/>
      <c r="AD57" s="2"/>
    </row>
    <row r="58" spans="1:30" x14ac:dyDescent="0.25">
      <c r="A58" s="2"/>
      <c r="B58" s="37"/>
      <c r="C58" s="218" t="s">
        <v>115</v>
      </c>
      <c r="D58" s="219">
        <v>68.8</v>
      </c>
      <c r="E58" s="219">
        <v>70.8</v>
      </c>
      <c r="F58" s="213"/>
      <c r="G58" s="213"/>
      <c r="H58" s="213"/>
      <c r="I58" s="217"/>
      <c r="J58" s="220">
        <v>70.7</v>
      </c>
      <c r="K58" s="213"/>
      <c r="L58" s="213"/>
      <c r="M58" s="213"/>
      <c r="N58" s="213"/>
      <c r="O58" s="217"/>
      <c r="P58" s="220">
        <v>73.41</v>
      </c>
      <c r="Q58" s="217"/>
      <c r="R58" s="217"/>
      <c r="S58" s="5"/>
      <c r="T58" s="5"/>
      <c r="U58" s="5"/>
      <c r="V58" s="283" t="s">
        <v>115</v>
      </c>
      <c r="W58" s="283"/>
      <c r="X58" s="283"/>
      <c r="Y58" s="220">
        <v>72.5</v>
      </c>
      <c r="Z58" s="5"/>
      <c r="AA58" s="5"/>
      <c r="AB58" s="5"/>
      <c r="AC58" s="5"/>
      <c r="AD58" s="2"/>
    </row>
    <row r="59" spans="1:30" x14ac:dyDescent="0.25">
      <c r="A59" s="2"/>
      <c r="B59" s="37"/>
      <c r="C59" s="221"/>
      <c r="D59" s="222"/>
      <c r="E59" s="222"/>
      <c r="F59" s="213"/>
      <c r="G59" s="213"/>
      <c r="H59" s="213"/>
      <c r="I59" s="217"/>
      <c r="J59" s="223"/>
      <c r="K59" s="213"/>
      <c r="L59" s="213"/>
      <c r="M59" s="213"/>
      <c r="N59" s="213"/>
      <c r="O59" s="217"/>
      <c r="P59" s="223"/>
      <c r="Q59" s="217"/>
      <c r="R59" s="217"/>
      <c r="S59" s="5"/>
      <c r="T59" s="5"/>
      <c r="U59" s="5"/>
      <c r="V59" s="283" t="s">
        <v>119</v>
      </c>
      <c r="W59" s="283"/>
      <c r="X59" s="283"/>
      <c r="Y59" s="220">
        <v>19.2</v>
      </c>
      <c r="Z59" s="5"/>
      <c r="AA59" s="5"/>
      <c r="AB59" s="5"/>
      <c r="AC59" s="5"/>
      <c r="AD59" s="2"/>
    </row>
    <row r="60" spans="1:30" s="2" customFormat="1" x14ac:dyDescent="0.25">
      <c r="B60" s="37"/>
      <c r="C60" s="216"/>
      <c r="D60" s="223"/>
      <c r="E60" s="223"/>
      <c r="F60" s="213"/>
      <c r="G60" s="213"/>
      <c r="H60" s="213"/>
      <c r="I60" s="217"/>
      <c r="J60" s="223"/>
      <c r="K60" s="213"/>
      <c r="L60" s="213"/>
      <c r="M60" s="213"/>
      <c r="N60" s="213"/>
      <c r="O60" s="217"/>
      <c r="P60" s="223"/>
      <c r="Q60" s="217"/>
      <c r="R60" s="217"/>
      <c r="S60" s="217"/>
      <c r="T60" s="217"/>
      <c r="U60" s="217"/>
      <c r="V60" s="223"/>
      <c r="W60" s="5"/>
      <c r="X60" s="5"/>
      <c r="Y60" s="5"/>
      <c r="Z60" s="5"/>
      <c r="AA60" s="5"/>
      <c r="AB60" s="5"/>
      <c r="AC60" s="5"/>
    </row>
    <row r="61" spans="1:30" x14ac:dyDescent="0.25">
      <c r="A61" s="2"/>
      <c r="B61" s="37"/>
      <c r="C61" s="216"/>
      <c r="D61" s="263"/>
      <c r="E61" s="263"/>
      <c r="F61" s="213"/>
      <c r="G61" s="213"/>
      <c r="H61" s="213"/>
      <c r="I61" s="217"/>
      <c r="J61" s="224"/>
      <c r="K61" s="213"/>
      <c r="L61" s="213"/>
      <c r="M61" s="213"/>
      <c r="N61" s="213"/>
      <c r="O61" s="217"/>
      <c r="P61" s="224"/>
      <c r="Q61" s="217"/>
      <c r="R61" s="217"/>
      <c r="S61" s="217"/>
      <c r="T61" s="217"/>
      <c r="U61" s="217"/>
      <c r="V61" s="285" t="s">
        <v>120</v>
      </c>
      <c r="W61" s="286"/>
      <c r="X61" s="287"/>
      <c r="Y61" s="220">
        <v>6201.4</v>
      </c>
      <c r="Z61" s="5"/>
      <c r="AA61" s="5"/>
      <c r="AB61" s="5"/>
      <c r="AC61" s="5"/>
      <c r="AD61" s="233">
        <v>6046.4</v>
      </c>
    </row>
    <row r="62" spans="1:30" x14ac:dyDescent="0.25">
      <c r="A62" s="2"/>
      <c r="B62" s="37"/>
      <c r="C62" s="216"/>
      <c r="D62" s="224"/>
      <c r="E62" s="224"/>
      <c r="F62" s="213"/>
      <c r="G62" s="213"/>
      <c r="H62" s="213"/>
      <c r="I62" s="217"/>
      <c r="J62" s="224"/>
      <c r="K62" s="213"/>
      <c r="L62" s="213"/>
      <c r="M62" s="213"/>
      <c r="N62" s="213"/>
      <c r="O62" s="217"/>
      <c r="P62" s="224"/>
      <c r="Q62" s="217"/>
      <c r="R62" s="217"/>
      <c r="S62" s="217"/>
      <c r="T62" s="217"/>
      <c r="U62" s="217"/>
      <c r="V62" s="239" t="s">
        <v>133</v>
      </c>
      <c r="W62" s="239"/>
      <c r="X62" s="239"/>
      <c r="Y62" s="87">
        <v>1030.8</v>
      </c>
      <c r="Z62" s="5"/>
      <c r="AA62" s="5"/>
      <c r="AB62" s="5"/>
      <c r="AC62" s="5"/>
      <c r="AD62" s="234"/>
    </row>
    <row r="63" spans="1:30" x14ac:dyDescent="0.25">
      <c r="A63" s="2"/>
      <c r="B63" s="37"/>
      <c r="C63" s="216"/>
      <c r="D63" s="224"/>
      <c r="E63" s="224"/>
      <c r="F63" s="213"/>
      <c r="G63" s="213"/>
      <c r="H63" s="213"/>
      <c r="I63" s="217"/>
      <c r="J63" s="224"/>
      <c r="K63" s="213"/>
      <c r="L63" s="213"/>
      <c r="M63" s="213"/>
      <c r="N63" s="213"/>
      <c r="O63" s="217"/>
      <c r="P63" s="224"/>
      <c r="Q63" s="217"/>
      <c r="R63" s="217"/>
      <c r="S63" s="217"/>
      <c r="T63" s="217"/>
      <c r="U63" s="217"/>
      <c r="V63" s="240" t="s">
        <v>132</v>
      </c>
      <c r="W63" s="240"/>
      <c r="X63" s="240"/>
      <c r="Y63" s="220">
        <v>130.30000000000001</v>
      </c>
      <c r="Z63" s="5"/>
      <c r="AA63" s="5"/>
      <c r="AB63" s="5"/>
      <c r="AC63" s="5"/>
      <c r="AD63" s="234"/>
    </row>
    <row r="64" spans="1:30" x14ac:dyDescent="0.25">
      <c r="A64" s="2"/>
      <c r="B64" s="37"/>
      <c r="C64" s="216"/>
      <c r="D64" s="224"/>
      <c r="E64" s="224"/>
      <c r="F64" s="213"/>
      <c r="G64" s="213"/>
      <c r="H64" s="213"/>
      <c r="I64" s="217"/>
      <c r="J64" s="224"/>
      <c r="K64" s="213"/>
      <c r="L64" s="213"/>
      <c r="M64" s="213"/>
      <c r="N64" s="213"/>
      <c r="O64" s="217"/>
      <c r="P64" s="224"/>
      <c r="Q64" s="217"/>
      <c r="R64" s="217"/>
      <c r="S64" s="217"/>
      <c r="T64" s="217"/>
      <c r="U64" s="217"/>
      <c r="V64" s="223"/>
      <c r="W64" s="5"/>
      <c r="X64" s="5"/>
      <c r="Y64" s="213">
        <f>SUM(Y61:Y63)</f>
        <v>7362.5</v>
      </c>
      <c r="Z64" s="5"/>
      <c r="AA64" s="5"/>
      <c r="AB64" s="5"/>
      <c r="AC64" s="5"/>
      <c r="AD64" s="234"/>
    </row>
    <row r="65" spans="1:30" s="2" customFormat="1" x14ac:dyDescent="0.25">
      <c r="B65" s="37"/>
      <c r="C65" s="216"/>
      <c r="D65" s="224"/>
      <c r="E65" s="224"/>
      <c r="F65" s="213"/>
      <c r="G65" s="213"/>
      <c r="H65" s="213"/>
      <c r="I65" s="217"/>
      <c r="J65" s="224"/>
      <c r="K65" s="213"/>
      <c r="L65" s="213"/>
      <c r="M65" s="213"/>
      <c r="N65" s="213"/>
      <c r="O65" s="217"/>
      <c r="P65" s="224"/>
      <c r="Q65" s="217"/>
      <c r="R65" s="217"/>
      <c r="S65" s="217"/>
      <c r="T65" s="217"/>
      <c r="U65" s="217"/>
      <c r="V65" s="223"/>
      <c r="W65" s="5"/>
      <c r="X65" s="5"/>
      <c r="Y65" s="5"/>
      <c r="Z65" s="5"/>
      <c r="AA65" s="5"/>
      <c r="AB65" s="5"/>
      <c r="AC65" s="5"/>
    </row>
    <row r="66" spans="1:30" x14ac:dyDescent="0.25">
      <c r="A66" s="2"/>
      <c r="B66" s="37"/>
      <c r="C66" s="5"/>
      <c r="D66" s="5"/>
      <c r="E66" s="5"/>
      <c r="F66" s="225"/>
      <c r="G66" s="213"/>
      <c r="H66" s="213"/>
      <c r="I66" s="217"/>
      <c r="J66" s="224"/>
      <c r="K66" s="224"/>
      <c r="L66" s="5"/>
      <c r="M66" s="226"/>
      <c r="N66" s="5"/>
      <c r="O66" s="5"/>
      <c r="P66" s="5"/>
      <c r="Q66" s="225"/>
      <c r="R66" s="5"/>
      <c r="S66" s="5"/>
      <c r="T66" s="5"/>
      <c r="U66" s="322" t="s">
        <v>121</v>
      </c>
      <c r="V66" s="322"/>
      <c r="W66" s="322"/>
      <c r="X66" s="322"/>
      <c r="Y66" s="227" t="s">
        <v>118</v>
      </c>
      <c r="Z66" s="5"/>
      <c r="AA66" s="5" t="s">
        <v>131</v>
      </c>
      <c r="AB66" s="5"/>
      <c r="AC66" s="5"/>
    </row>
    <row r="67" spans="1:30" x14ac:dyDescent="0.25">
      <c r="A67" s="2"/>
      <c r="B67" s="37"/>
      <c r="C67" s="5"/>
      <c r="D67" s="5"/>
      <c r="E67" s="5"/>
      <c r="F67" s="213"/>
      <c r="G67" s="213"/>
      <c r="H67" s="213"/>
      <c r="I67" s="217"/>
      <c r="J67" s="224"/>
      <c r="K67" s="224"/>
      <c r="L67" s="5"/>
      <c r="M67" s="226"/>
      <c r="N67" s="5"/>
      <c r="O67" s="5"/>
      <c r="P67" s="5"/>
      <c r="Q67" s="213"/>
      <c r="R67" s="5"/>
      <c r="S67" s="5"/>
      <c r="T67" s="5"/>
      <c r="U67" s="283" t="s">
        <v>106</v>
      </c>
      <c r="V67" s="283"/>
      <c r="W67" s="283"/>
      <c r="X67" s="283"/>
      <c r="Y67" s="237">
        <f>6046.4</f>
        <v>6046.4</v>
      </c>
      <c r="Z67" s="5"/>
      <c r="AA67" s="228" t="s">
        <v>122</v>
      </c>
      <c r="AB67" s="229">
        <v>284.89999999999998</v>
      </c>
      <c r="AC67" s="5"/>
    </row>
    <row r="68" spans="1:30" x14ac:dyDescent="0.25">
      <c r="A68" s="2"/>
      <c r="B68" s="37"/>
      <c r="C68" s="5"/>
      <c r="D68" s="5"/>
      <c r="E68" s="5"/>
      <c r="F68" s="213"/>
      <c r="G68" s="213"/>
      <c r="H68" s="213"/>
      <c r="I68" s="217"/>
      <c r="J68" s="224"/>
      <c r="K68" s="224"/>
      <c r="L68" s="5"/>
      <c r="M68" s="226"/>
      <c r="N68" s="5"/>
      <c r="O68" s="5"/>
      <c r="P68" s="5"/>
      <c r="Q68" s="213"/>
      <c r="R68" s="5"/>
      <c r="S68" s="5"/>
      <c r="T68" s="5"/>
      <c r="U68" s="283" t="s">
        <v>107</v>
      </c>
      <c r="V68" s="283"/>
      <c r="W68" s="283"/>
      <c r="X68" s="283"/>
      <c r="Y68" s="237">
        <v>2294.4</v>
      </c>
      <c r="Z68" s="5"/>
      <c r="AA68" s="228" t="s">
        <v>117</v>
      </c>
      <c r="AB68" s="229">
        <v>80.400000000000006</v>
      </c>
      <c r="AC68" s="5"/>
    </row>
    <row r="69" spans="1:30" x14ac:dyDescent="0.25">
      <c r="A69" s="2"/>
      <c r="B69" s="37"/>
      <c r="C69" s="5"/>
      <c r="D69" s="5"/>
      <c r="E69" s="5"/>
      <c r="F69" s="213"/>
      <c r="G69" s="213"/>
      <c r="H69" s="213"/>
      <c r="I69" s="217"/>
      <c r="J69" s="224"/>
      <c r="K69" s="224"/>
      <c r="L69" s="5"/>
      <c r="M69" s="226"/>
      <c r="N69" s="5"/>
      <c r="O69" s="5"/>
      <c r="P69" s="5"/>
      <c r="Q69" s="213"/>
      <c r="R69" s="5"/>
      <c r="S69" s="5"/>
      <c r="T69" s="5"/>
      <c r="U69" s="283" t="s">
        <v>108</v>
      </c>
      <c r="V69" s="283"/>
      <c r="W69" s="283"/>
      <c r="X69" s="283"/>
      <c r="Y69" s="237">
        <v>155</v>
      </c>
      <c r="Z69" s="5"/>
      <c r="AA69" s="228" t="s">
        <v>116</v>
      </c>
      <c r="AB69" s="229">
        <f>1005.2</f>
        <v>1005.2</v>
      </c>
      <c r="AC69" s="5"/>
    </row>
    <row r="70" spans="1:30" x14ac:dyDescent="0.25">
      <c r="A70" s="2"/>
      <c r="B70" s="2"/>
      <c r="C70" s="5"/>
      <c r="D70" s="5"/>
      <c r="E70" s="5"/>
      <c r="F70" s="5"/>
      <c r="G70" s="5"/>
      <c r="H70" s="5"/>
      <c r="I70" s="5"/>
      <c r="J70" s="5"/>
      <c r="K70" s="5"/>
      <c r="L70" s="5"/>
      <c r="M70" s="226"/>
      <c r="N70" s="5"/>
      <c r="O70" s="5"/>
      <c r="P70" s="5"/>
      <c r="Q70" s="5"/>
      <c r="R70" s="5"/>
      <c r="S70" s="5"/>
      <c r="T70" s="5"/>
      <c r="U70" s="283" t="s">
        <v>110</v>
      </c>
      <c r="V70" s="283"/>
      <c r="W70" s="283"/>
      <c r="X70" s="283"/>
      <c r="Y70" s="237">
        <v>60.5</v>
      </c>
      <c r="Z70" s="5"/>
      <c r="AA70" s="5"/>
      <c r="AB70" s="5"/>
      <c r="AC70" s="5"/>
    </row>
    <row r="71" spans="1:30" x14ac:dyDescent="0.25">
      <c r="A71" s="2"/>
      <c r="B71" s="37"/>
      <c r="C71" s="5"/>
      <c r="D71" s="5"/>
      <c r="E71" s="5"/>
      <c r="F71" s="213"/>
      <c r="G71" s="213"/>
      <c r="H71" s="213"/>
      <c r="I71" s="217"/>
      <c r="J71" s="230"/>
      <c r="K71" s="230"/>
      <c r="L71" s="5"/>
      <c r="M71" s="226"/>
      <c r="N71" s="5"/>
      <c r="O71" s="5"/>
      <c r="P71" s="5"/>
      <c r="Q71" s="213"/>
      <c r="R71" s="5"/>
      <c r="S71" s="5"/>
      <c r="T71" s="5"/>
      <c r="U71" s="283" t="s">
        <v>109</v>
      </c>
      <c r="V71" s="283"/>
      <c r="W71" s="283"/>
      <c r="X71" s="283"/>
      <c r="Y71" s="238">
        <v>690</v>
      </c>
      <c r="Z71" s="5"/>
      <c r="AA71" s="5"/>
      <c r="AB71" s="5"/>
      <c r="AC71" s="5"/>
    </row>
    <row r="72" spans="1:30" x14ac:dyDescent="0.25">
      <c r="A72" s="2"/>
      <c r="B72" s="37"/>
      <c r="C72" s="5"/>
      <c r="D72" s="5"/>
      <c r="E72" s="5"/>
      <c r="F72" s="213"/>
      <c r="G72" s="213"/>
      <c r="H72" s="213"/>
      <c r="I72" s="217"/>
      <c r="J72" s="224"/>
      <c r="K72" s="224"/>
      <c r="L72" s="5"/>
      <c r="M72" s="226"/>
      <c r="N72" s="5"/>
      <c r="O72" s="5"/>
      <c r="P72" s="5"/>
      <c r="Q72" s="213"/>
      <c r="R72" s="5"/>
      <c r="S72" s="5"/>
      <c r="T72" s="5"/>
      <c r="U72" s="323" t="s">
        <v>114</v>
      </c>
      <c r="V72" s="323"/>
      <c r="W72" s="323"/>
      <c r="X72" s="323"/>
      <c r="Y72" s="237">
        <v>500</v>
      </c>
      <c r="Z72" s="5"/>
      <c r="AA72" s="5"/>
      <c r="AB72" s="5"/>
      <c r="AC72" s="5"/>
    </row>
    <row r="73" spans="1:30" x14ac:dyDescent="0.25">
      <c r="A73" s="2"/>
      <c r="B73" s="37"/>
      <c r="C73" s="5"/>
      <c r="D73" s="5"/>
      <c r="E73" s="5"/>
      <c r="F73" s="213"/>
      <c r="G73" s="213"/>
      <c r="H73" s="213"/>
      <c r="I73" s="217"/>
      <c r="J73" s="224"/>
      <c r="K73" s="224"/>
      <c r="L73" s="5"/>
      <c r="M73" s="226"/>
      <c r="N73" s="5"/>
      <c r="O73" s="5"/>
      <c r="P73" s="5"/>
      <c r="Q73" s="213"/>
      <c r="R73" s="5"/>
      <c r="S73" s="5"/>
      <c r="T73" s="5"/>
      <c r="U73" s="323" t="s">
        <v>111</v>
      </c>
      <c r="V73" s="323"/>
      <c r="W73" s="323"/>
      <c r="X73" s="323"/>
      <c r="Y73" s="237">
        <v>50</v>
      </c>
      <c r="Z73" s="5"/>
      <c r="AA73" s="5"/>
      <c r="AB73" s="5"/>
      <c r="AC73" s="5"/>
    </row>
    <row r="74" spans="1:30" x14ac:dyDescent="0.25">
      <c r="A74" s="2"/>
      <c r="B74" s="37"/>
      <c r="C74" s="5"/>
      <c r="D74" s="5"/>
      <c r="E74" s="5"/>
      <c r="F74" s="213"/>
      <c r="G74" s="213"/>
      <c r="H74" s="213"/>
      <c r="I74" s="217"/>
      <c r="J74" s="224"/>
      <c r="K74" s="224"/>
      <c r="L74" s="5"/>
      <c r="M74" s="226"/>
      <c r="N74" s="5"/>
      <c r="O74" s="5"/>
      <c r="P74" s="5"/>
      <c r="Q74" s="213"/>
      <c r="R74" s="5"/>
      <c r="S74" s="5"/>
      <c r="T74" s="5"/>
      <c r="U74" s="323" t="s">
        <v>112</v>
      </c>
      <c r="V74" s="323"/>
      <c r="W74" s="323"/>
      <c r="X74" s="323"/>
      <c r="Y74" s="237">
        <v>90</v>
      </c>
      <c r="Z74" s="5"/>
      <c r="AA74" s="5"/>
      <c r="AB74" s="5"/>
      <c r="AC74" s="5"/>
    </row>
    <row r="75" spans="1:30" x14ac:dyDescent="0.25">
      <c r="A75" s="2"/>
      <c r="B75" s="37"/>
      <c r="C75" s="5"/>
      <c r="D75" s="5"/>
      <c r="E75" s="5"/>
      <c r="F75" s="213"/>
      <c r="G75" s="213"/>
      <c r="H75" s="213"/>
      <c r="I75" s="217"/>
      <c r="J75" s="224"/>
      <c r="K75" s="224"/>
      <c r="L75" s="5"/>
      <c r="M75" s="226"/>
      <c r="N75" s="5"/>
      <c r="O75" s="5"/>
      <c r="P75" s="5"/>
      <c r="Q75" s="213"/>
      <c r="R75" s="5"/>
      <c r="S75" s="5"/>
      <c r="T75" s="5"/>
      <c r="U75" s="323" t="s">
        <v>113</v>
      </c>
      <c r="V75" s="323"/>
      <c r="W75" s="323"/>
      <c r="X75" s="323"/>
      <c r="Y75" s="237">
        <v>50</v>
      </c>
      <c r="Z75" s="5"/>
      <c r="AA75" s="5"/>
      <c r="AB75" s="5"/>
      <c r="AC75" s="5"/>
    </row>
    <row r="76" spans="1:30" x14ac:dyDescent="0.25">
      <c r="A76" s="2"/>
      <c r="B76" s="37"/>
      <c r="C76" s="155"/>
      <c r="D76" s="39"/>
      <c r="E76" s="39"/>
      <c r="F76" s="39"/>
      <c r="G76" s="39"/>
      <c r="H76" s="39"/>
      <c r="I76" s="40"/>
      <c r="J76" s="39"/>
      <c r="K76" s="39"/>
      <c r="L76" s="2"/>
      <c r="M76" s="3"/>
      <c r="N76" s="2"/>
      <c r="O76" s="2"/>
      <c r="P76" s="2"/>
      <c r="Q76" s="156"/>
      <c r="R76" s="2"/>
      <c r="S76" s="2"/>
      <c r="T76" s="2"/>
      <c r="U76" s="40"/>
      <c r="V76" s="40"/>
      <c r="W76" s="40"/>
      <c r="X76" s="39"/>
      <c r="Y76" s="39">
        <f>SUM(Y67:Y71)</f>
        <v>9246.2999999999993</v>
      </c>
      <c r="Z76" s="2"/>
      <c r="AA76" s="2"/>
      <c r="AB76" s="2"/>
      <c r="AC76" s="2"/>
    </row>
    <row r="77" spans="1:30" x14ac:dyDescent="0.25">
      <c r="A77" s="2"/>
      <c r="B77" s="37"/>
      <c r="C77" s="38"/>
      <c r="D77" s="39"/>
      <c r="E77" s="39"/>
      <c r="F77" s="39"/>
      <c r="G77" s="39"/>
      <c r="H77" s="39"/>
      <c r="I77" s="40"/>
      <c r="J77" s="39"/>
      <c r="K77" s="39"/>
      <c r="L77" s="39"/>
      <c r="M77" s="39"/>
      <c r="N77" s="39"/>
      <c r="O77" s="40"/>
      <c r="P77" s="39"/>
      <c r="Q77" s="39"/>
      <c r="R77" s="39"/>
      <c r="S77" s="40"/>
      <c r="T77" s="40"/>
      <c r="U77" s="40"/>
      <c r="V77" s="39"/>
      <c r="W77" s="39"/>
      <c r="X77" s="39"/>
      <c r="Y77" s="2"/>
      <c r="Z77" s="2"/>
      <c r="AA77" s="2"/>
      <c r="AB77" s="2"/>
      <c r="AC77" s="2"/>
      <c r="AD77" s="2"/>
    </row>
    <row r="78" spans="1:30" x14ac:dyDescent="0.25">
      <c r="A78" s="2"/>
      <c r="B78" s="60" t="s">
        <v>89</v>
      </c>
      <c r="C78" s="59"/>
      <c r="D78" s="315"/>
      <c r="E78" s="315"/>
      <c r="F78" s="315"/>
      <c r="G78" s="315"/>
      <c r="H78" s="315"/>
      <c r="I78" s="315"/>
      <c r="J78" s="315"/>
      <c r="K78" s="315"/>
      <c r="L78" s="315"/>
      <c r="M78" s="315"/>
      <c r="N78" s="315"/>
      <c r="O78" s="315"/>
      <c r="P78" s="315"/>
      <c r="Q78" s="315"/>
      <c r="R78" s="315"/>
      <c r="S78" s="315"/>
      <c r="T78" s="315"/>
      <c r="U78" s="315"/>
      <c r="V78" s="105"/>
      <c r="W78" s="105"/>
      <c r="X78" s="105"/>
      <c r="Y78" s="105"/>
      <c r="Z78" s="105"/>
      <c r="AA78" s="105"/>
      <c r="AB78" s="106"/>
      <c r="AC78" s="2"/>
      <c r="AD78" s="2"/>
    </row>
    <row r="79" spans="1:30" ht="15.75" x14ac:dyDescent="0.25">
      <c r="A79" s="2"/>
      <c r="B79" s="197"/>
      <c r="C79" s="198"/>
      <c r="D79" s="198"/>
      <c r="E79" s="198"/>
      <c r="F79" s="198"/>
      <c r="G79" s="198"/>
      <c r="H79" s="198"/>
      <c r="I79" s="198"/>
      <c r="J79" s="198"/>
      <c r="K79" s="198"/>
      <c r="L79" s="198"/>
      <c r="M79" s="198"/>
      <c r="N79" s="198"/>
      <c r="O79" s="198"/>
      <c r="P79" s="198"/>
      <c r="Q79" s="198"/>
      <c r="R79" s="198"/>
      <c r="S79" s="198"/>
      <c r="T79" s="198"/>
      <c r="U79" s="198"/>
      <c r="AB79" s="80"/>
      <c r="AC79" s="2"/>
      <c r="AD79" s="2"/>
    </row>
    <row r="80" spans="1:30" ht="18.75" x14ac:dyDescent="0.3">
      <c r="A80" s="2"/>
      <c r="B80" s="299" t="s">
        <v>136</v>
      </c>
      <c r="C80" s="300"/>
      <c r="D80" s="300"/>
      <c r="E80" s="300"/>
      <c r="F80" s="300"/>
      <c r="G80" s="300"/>
      <c r="H80" s="300"/>
      <c r="I80" s="300"/>
      <c r="J80" s="300"/>
      <c r="K80" s="300"/>
      <c r="L80" s="300"/>
      <c r="M80" s="300"/>
      <c r="N80" s="300"/>
      <c r="O80" s="300"/>
      <c r="P80" s="300"/>
      <c r="Q80" s="300"/>
      <c r="R80" s="300"/>
      <c r="S80" s="300"/>
      <c r="T80" s="300"/>
      <c r="U80" s="300"/>
      <c r="AB80" s="80"/>
      <c r="AC80" s="2"/>
      <c r="AD80" s="2"/>
    </row>
    <row r="81" spans="1:30" ht="18.75" x14ac:dyDescent="0.3">
      <c r="A81" s="2"/>
      <c r="B81" s="299"/>
      <c r="C81" s="300"/>
      <c r="D81" s="300"/>
      <c r="E81" s="300"/>
      <c r="F81" s="300"/>
      <c r="G81" s="300"/>
      <c r="H81" s="300"/>
      <c r="I81" s="300"/>
      <c r="J81" s="300"/>
      <c r="K81" s="300"/>
      <c r="L81" s="300"/>
      <c r="M81" s="300"/>
      <c r="N81" s="300"/>
      <c r="O81" s="300"/>
      <c r="P81" s="300"/>
      <c r="Q81" s="300"/>
      <c r="R81" s="300"/>
      <c r="S81" s="300"/>
      <c r="T81" s="300"/>
      <c r="U81" s="300"/>
      <c r="AB81" s="80"/>
      <c r="AC81" s="2"/>
      <c r="AD81" s="2"/>
    </row>
    <row r="82" spans="1:30" ht="18.75" x14ac:dyDescent="0.3">
      <c r="A82" s="2"/>
      <c r="B82" s="199" t="s">
        <v>126</v>
      </c>
      <c r="C82" s="200"/>
      <c r="D82" s="200"/>
      <c r="E82" s="200"/>
      <c r="F82" s="200"/>
      <c r="G82" s="200"/>
      <c r="H82" s="200"/>
      <c r="I82" s="200"/>
      <c r="J82" s="200"/>
      <c r="K82" s="200"/>
      <c r="L82" s="200"/>
      <c r="M82" s="200"/>
      <c r="N82" s="200"/>
      <c r="O82" s="200"/>
      <c r="P82" s="200"/>
      <c r="Q82" s="200"/>
      <c r="R82" s="200"/>
      <c r="S82" s="200"/>
      <c r="T82" s="200"/>
      <c r="U82" s="200"/>
      <c r="AB82" s="80"/>
      <c r="AC82" s="2"/>
      <c r="AD82" s="2"/>
    </row>
    <row r="83" spans="1:30" ht="18.75" x14ac:dyDescent="0.3">
      <c r="A83" s="2"/>
      <c r="B83" s="199"/>
      <c r="C83" s="200"/>
      <c r="D83" s="200"/>
      <c r="E83" s="200"/>
      <c r="F83" s="200"/>
      <c r="G83" s="200"/>
      <c r="H83" s="200"/>
      <c r="I83" s="200"/>
      <c r="J83" s="200"/>
      <c r="K83" s="200"/>
      <c r="L83" s="200"/>
      <c r="M83" s="200"/>
      <c r="N83" s="200"/>
      <c r="O83" s="200"/>
      <c r="P83" s="200"/>
      <c r="Q83" s="200"/>
      <c r="R83" s="200"/>
      <c r="S83" s="200"/>
      <c r="T83" s="200"/>
      <c r="U83" s="200"/>
      <c r="AB83" s="80"/>
      <c r="AC83" s="2"/>
      <c r="AD83" s="2"/>
    </row>
    <row r="84" spans="1:30" ht="18.75" x14ac:dyDescent="0.3">
      <c r="A84" s="2"/>
      <c r="B84" s="199"/>
      <c r="C84" s="200" t="s">
        <v>128</v>
      </c>
      <c r="D84" s="200"/>
      <c r="E84" s="200"/>
      <c r="F84" s="200"/>
      <c r="G84" s="200"/>
      <c r="H84" s="200"/>
      <c r="I84" s="200"/>
      <c r="J84" s="200"/>
      <c r="K84" s="200"/>
      <c r="L84" s="200"/>
      <c r="M84" s="200"/>
      <c r="N84" s="200"/>
      <c r="O84" s="200"/>
      <c r="P84" s="200"/>
      <c r="Q84" s="200"/>
      <c r="R84" s="200"/>
      <c r="S84" s="200"/>
      <c r="T84" s="200"/>
      <c r="U84" s="200"/>
      <c r="AB84" s="80"/>
      <c r="AC84" s="2"/>
      <c r="AD84" s="2"/>
    </row>
    <row r="85" spans="1:30" ht="18.75" x14ac:dyDescent="0.3">
      <c r="A85" s="2"/>
      <c r="B85" s="199"/>
      <c r="C85" s="200"/>
      <c r="D85" s="200"/>
      <c r="E85" s="200"/>
      <c r="F85" s="200"/>
      <c r="G85" s="200"/>
      <c r="H85" s="200"/>
      <c r="I85" s="200"/>
      <c r="J85" s="200"/>
      <c r="K85" s="200"/>
      <c r="L85" s="200"/>
      <c r="M85" s="200"/>
      <c r="N85" s="200"/>
      <c r="O85" s="200"/>
      <c r="P85" s="200"/>
      <c r="Q85" s="200"/>
      <c r="R85" s="200"/>
      <c r="S85" s="200"/>
      <c r="T85" s="200"/>
      <c r="U85" s="200"/>
      <c r="AB85" s="80"/>
      <c r="AC85" s="2"/>
      <c r="AD85" s="2"/>
    </row>
    <row r="86" spans="1:30" ht="18.75" x14ac:dyDescent="0.3">
      <c r="A86" s="2"/>
      <c r="B86" s="199"/>
      <c r="C86" s="200" t="s">
        <v>129</v>
      </c>
      <c r="D86" s="200"/>
      <c r="E86" s="200"/>
      <c r="F86" s="200"/>
      <c r="G86" s="200"/>
      <c r="H86" s="200"/>
      <c r="I86" s="200"/>
      <c r="J86" s="200"/>
      <c r="K86" s="200"/>
      <c r="L86" s="200"/>
      <c r="M86" s="200"/>
      <c r="N86" s="200"/>
      <c r="O86" s="200"/>
      <c r="P86" s="200"/>
      <c r="Q86" s="200"/>
      <c r="R86" s="200"/>
      <c r="S86" s="200"/>
      <c r="T86" s="200"/>
      <c r="U86" s="200"/>
      <c r="AB86" s="80"/>
      <c r="AC86" s="2"/>
      <c r="AD86" s="2"/>
    </row>
    <row r="87" spans="1:30" x14ac:dyDescent="0.25">
      <c r="A87" s="2"/>
      <c r="B87" s="88"/>
      <c r="C87" s="89"/>
      <c r="D87" s="90"/>
      <c r="E87" s="90"/>
      <c r="F87" s="96"/>
      <c r="G87" s="96"/>
      <c r="H87" s="96"/>
      <c r="I87" s="96"/>
      <c r="J87" s="96"/>
      <c r="K87" s="96"/>
      <c r="L87" s="96"/>
      <c r="M87" s="96"/>
      <c r="N87" s="96"/>
      <c r="O87" s="96"/>
      <c r="P87" s="96"/>
      <c r="Q87" s="96"/>
      <c r="R87" s="96"/>
      <c r="S87" s="96"/>
      <c r="T87" s="96"/>
      <c r="U87" s="96"/>
      <c r="V87" s="107"/>
      <c r="W87" s="107"/>
      <c r="X87" s="107"/>
      <c r="Y87" s="107"/>
      <c r="Z87" s="107"/>
      <c r="AA87" s="107"/>
      <c r="AB87" s="108"/>
      <c r="AC87" s="2"/>
      <c r="AD87" s="2"/>
    </row>
    <row r="88" spans="1:30" x14ac:dyDescent="0.25">
      <c r="A88" s="2"/>
      <c r="B88" s="92"/>
      <c r="C88" s="91"/>
      <c r="D88" s="92"/>
      <c r="E88" s="92"/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3"/>
      <c r="U88" s="93"/>
      <c r="V88" s="2"/>
      <c r="W88" s="2"/>
      <c r="X88" s="2"/>
      <c r="Y88" s="2"/>
      <c r="Z88" s="2"/>
      <c r="AA88" s="2"/>
      <c r="AB88" s="2"/>
      <c r="AC88" s="2"/>
      <c r="AD88" s="2"/>
    </row>
    <row r="89" spans="1:30" x14ac:dyDescent="0.25">
      <c r="A89" s="2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2"/>
      <c r="W89" s="2"/>
      <c r="X89" s="2"/>
      <c r="Y89" s="2"/>
      <c r="Z89" s="2"/>
      <c r="AA89" s="2"/>
      <c r="AB89" s="2"/>
      <c r="AC89" s="2"/>
      <c r="AD89" s="2"/>
    </row>
    <row r="90" spans="1:30" x14ac:dyDescent="0.25">
      <c r="A90" s="2"/>
      <c r="B90" s="41" t="s">
        <v>78</v>
      </c>
      <c r="C90" s="79">
        <v>45918</v>
      </c>
      <c r="D90" s="41" t="s">
        <v>75</v>
      </c>
      <c r="E90" s="288" t="s">
        <v>123</v>
      </c>
      <c r="F90" s="288"/>
      <c r="G90" s="288"/>
      <c r="H90" s="41"/>
      <c r="I90" s="41" t="s">
        <v>76</v>
      </c>
      <c r="J90" s="289" t="s">
        <v>130</v>
      </c>
      <c r="K90" s="289"/>
      <c r="L90" s="289"/>
      <c r="M90" s="289"/>
      <c r="N90" s="41"/>
      <c r="O90" s="41"/>
      <c r="P90" s="41"/>
      <c r="Q90" s="41"/>
      <c r="R90" s="41"/>
      <c r="S90" s="41"/>
      <c r="T90" s="41"/>
      <c r="U90" s="41"/>
      <c r="V90" s="2"/>
      <c r="W90" s="2"/>
      <c r="X90" s="2"/>
      <c r="Y90" s="2"/>
      <c r="Z90" s="2"/>
      <c r="AA90" s="2"/>
      <c r="AB90" s="2"/>
      <c r="AC90" s="2"/>
      <c r="AD90" s="2"/>
    </row>
    <row r="91" spans="1:30" ht="7.5" customHeight="1" x14ac:dyDescent="0.25">
      <c r="A91" s="2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2"/>
      <c r="W91" s="2"/>
      <c r="X91" s="2"/>
      <c r="Y91" s="2"/>
      <c r="Z91" s="2"/>
      <c r="AA91" s="2"/>
      <c r="AB91" s="2"/>
      <c r="AC91" s="2"/>
      <c r="AD91" s="2"/>
    </row>
    <row r="92" spans="1:30" x14ac:dyDescent="0.25">
      <c r="A92" s="2"/>
      <c r="B92" s="41"/>
      <c r="C92" s="41"/>
      <c r="D92" s="41" t="s">
        <v>77</v>
      </c>
      <c r="E92" s="43"/>
      <c r="F92" s="43"/>
      <c r="G92" s="43"/>
      <c r="H92" s="41"/>
      <c r="I92" s="41" t="s">
        <v>77</v>
      </c>
      <c r="J92" s="42"/>
      <c r="K92" s="42"/>
      <c r="L92" s="42"/>
      <c r="M92" s="42"/>
      <c r="N92" s="41"/>
      <c r="O92" s="41"/>
      <c r="P92" s="41"/>
      <c r="Q92" s="41"/>
      <c r="R92" s="41"/>
      <c r="S92" s="41"/>
      <c r="T92" s="41"/>
      <c r="U92" s="41"/>
      <c r="V92" s="2"/>
      <c r="W92" s="2"/>
      <c r="X92" s="2"/>
      <c r="Y92" s="2"/>
      <c r="Z92" s="2"/>
      <c r="AA92" s="2"/>
      <c r="AB92" s="2"/>
      <c r="AC92" s="2"/>
      <c r="AD92" s="2"/>
    </row>
    <row r="93" spans="1:30" x14ac:dyDescent="0.25">
      <c r="A93" s="2"/>
      <c r="B93" s="41"/>
      <c r="C93" s="41"/>
      <c r="D93" s="41"/>
      <c r="E93" s="43"/>
      <c r="F93" s="43"/>
      <c r="G93" s="43"/>
      <c r="H93" s="41"/>
      <c r="I93" s="41"/>
      <c r="J93" s="42"/>
      <c r="K93" s="42"/>
      <c r="L93" s="42"/>
      <c r="M93" s="42"/>
      <c r="N93" s="41"/>
      <c r="O93" s="41"/>
      <c r="P93" s="41"/>
      <c r="Q93" s="41"/>
      <c r="R93" s="41"/>
      <c r="S93" s="41"/>
      <c r="T93" s="41"/>
      <c r="U93" s="41"/>
      <c r="V93" s="2"/>
      <c r="W93" s="2"/>
      <c r="X93" s="2"/>
      <c r="Y93" s="2"/>
      <c r="Z93" s="2"/>
      <c r="AA93" s="2"/>
      <c r="AB93" s="2"/>
      <c r="AC93" s="2"/>
      <c r="AD93" s="2"/>
    </row>
    <row r="94" spans="1:30" x14ac:dyDescent="0.25">
      <c r="A94" s="2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2"/>
      <c r="W94" s="2"/>
      <c r="X94" s="2"/>
      <c r="Y94" s="2"/>
      <c r="Z94" s="2"/>
      <c r="AA94" s="2"/>
      <c r="AB94" s="2"/>
      <c r="AC94" s="2"/>
      <c r="AD94" s="2"/>
    </row>
    <row r="95" spans="1:30" x14ac:dyDescent="0.25">
      <c r="A95" s="2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2"/>
      <c r="W95" s="2"/>
      <c r="X95" s="2"/>
      <c r="Y95" s="2"/>
      <c r="Z95" s="2"/>
      <c r="AA95" s="2"/>
      <c r="AB95" s="2"/>
      <c r="AC95" s="2"/>
      <c r="AD95" s="2"/>
    </row>
    <row r="96" spans="1:30" x14ac:dyDescent="0.25"/>
    <row r="97" x14ac:dyDescent="0.25"/>
    <row r="107" x14ac:dyDescent="0.25"/>
    <row r="108" x14ac:dyDescent="0.25"/>
    <row r="109" x14ac:dyDescent="0.25"/>
    <row r="110" x14ac:dyDescent="0.25"/>
    <row r="111" x14ac:dyDescent="0.25"/>
    <row r="112" ht="15" hidden="1" customHeight="1" x14ac:dyDescent="0.25"/>
    <row r="126" ht="15" hidden="1" customHeight="1" x14ac:dyDescent="0.25"/>
    <row r="127" ht="15" hidden="1" customHeight="1" x14ac:dyDescent="0.25"/>
    <row r="128" x14ac:dyDescent="0.25"/>
    <row r="132" x14ac:dyDescent="0.25"/>
    <row r="133" x14ac:dyDescent="0.25"/>
    <row r="134" x14ac:dyDescent="0.25"/>
    <row r="135" x14ac:dyDescent="0.25"/>
  </sheetData>
  <mergeCells count="80">
    <mergeCell ref="U72:X72"/>
    <mergeCell ref="U73:X73"/>
    <mergeCell ref="U74:X74"/>
    <mergeCell ref="U75:X75"/>
    <mergeCell ref="U67:X67"/>
    <mergeCell ref="U68:X68"/>
    <mergeCell ref="U69:X69"/>
    <mergeCell ref="U70:X70"/>
    <mergeCell ref="U71:X71"/>
    <mergeCell ref="B80:U80"/>
    <mergeCell ref="D78:U78"/>
    <mergeCell ref="J10:O10"/>
    <mergeCell ref="J11:M11"/>
    <mergeCell ref="J12:O12"/>
    <mergeCell ref="J13:L13"/>
    <mergeCell ref="M13:M14"/>
    <mergeCell ref="N13:N14"/>
    <mergeCell ref="I13:I14"/>
    <mergeCell ref="D26:I26"/>
    <mergeCell ref="D27:F27"/>
    <mergeCell ref="G27:G28"/>
    <mergeCell ref="B10:B13"/>
    <mergeCell ref="P10:U10"/>
    <mergeCell ref="P11:S11"/>
    <mergeCell ref="U66:X66"/>
    <mergeCell ref="B27:B28"/>
    <mergeCell ref="O13:O14"/>
    <mergeCell ref="J26:O26"/>
    <mergeCell ref="J27:L27"/>
    <mergeCell ref="M27:M28"/>
    <mergeCell ref="N27:N28"/>
    <mergeCell ref="O27:O28"/>
    <mergeCell ref="G13:G14"/>
    <mergeCell ref="H13:H14"/>
    <mergeCell ref="E90:G90"/>
    <mergeCell ref="J90:M90"/>
    <mergeCell ref="D4:U4"/>
    <mergeCell ref="D8:U8"/>
    <mergeCell ref="C44:C45"/>
    <mergeCell ref="C47:C48"/>
    <mergeCell ref="C27:C28"/>
    <mergeCell ref="D12:I12"/>
    <mergeCell ref="D10:I10"/>
    <mergeCell ref="D11:G11"/>
    <mergeCell ref="C10:C13"/>
    <mergeCell ref="D13:F13"/>
    <mergeCell ref="H27:H28"/>
    <mergeCell ref="I27:I28"/>
    <mergeCell ref="T13:T14"/>
    <mergeCell ref="B81:U81"/>
    <mergeCell ref="D61:E61"/>
    <mergeCell ref="AB26:AB28"/>
    <mergeCell ref="V27:X27"/>
    <mergeCell ref="AA27:AA28"/>
    <mergeCell ref="Y27:Y28"/>
    <mergeCell ref="Z27:Z28"/>
    <mergeCell ref="V26:AA26"/>
    <mergeCell ref="P26:U26"/>
    <mergeCell ref="P27:R27"/>
    <mergeCell ref="S27:S28"/>
    <mergeCell ref="T27:T28"/>
    <mergeCell ref="V58:X58"/>
    <mergeCell ref="V59:X59"/>
    <mergeCell ref="V57:X57"/>
    <mergeCell ref="V61:X61"/>
    <mergeCell ref="V62:X62"/>
    <mergeCell ref="V63:X63"/>
    <mergeCell ref="S13:S14"/>
    <mergeCell ref="AB10:AB14"/>
    <mergeCell ref="V11:Y11"/>
    <mergeCell ref="V12:AA12"/>
    <mergeCell ref="V13:X13"/>
    <mergeCell ref="AA13:AA14"/>
    <mergeCell ref="V10:AA10"/>
    <mergeCell ref="Y13:Y14"/>
    <mergeCell ref="Z13:Z14"/>
    <mergeCell ref="P12:U12"/>
    <mergeCell ref="P13:R13"/>
    <mergeCell ref="U13:U14"/>
    <mergeCell ref="U27:U28"/>
  </mergeCells>
  <conditionalFormatting sqref="AB15:AB26 AB29:AB42">
    <cfRule type="cellIs" dxfId="1" priority="13" operator="equal">
      <formula>0</formula>
    </cfRule>
    <cfRule type="containsErrors" dxfId="0" priority="14">
      <formula>ISERROR(AB15)</formula>
    </cfRule>
  </conditionalFormatting>
  <pageMargins left="0.70866141732283472" right="0.70866141732283472" top="0.78740157480314965" bottom="0.78740157480314965" header="0.31496062992125984" footer="0.31496062992125984"/>
  <pageSetup paperSize="8" scale="38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NR 2026</vt:lpstr>
      <vt:lpstr>'NR 2026'!Oblast_tisku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Matějková Romana</cp:lastModifiedBy>
  <cp:lastPrinted>2025-09-22T12:53:53Z</cp:lastPrinted>
  <dcterms:created xsi:type="dcterms:W3CDTF">2017-02-23T12:10:09Z</dcterms:created>
  <dcterms:modified xsi:type="dcterms:W3CDTF">2025-10-16T12:38:59Z</dcterms:modified>
</cp:coreProperties>
</file>