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9E970FFD-6345-421D-BDF5-77CBC6C6DABE}" xr6:coauthVersionLast="36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2026'!$A$1:$AC$95</definedName>
    <definedName name="_xlnm.Print_Area" localSheetId="1">'SVR 2027-2028'!$A$1:$S$83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4" i="3" l="1"/>
  <c r="R1" i="4"/>
  <c r="V39" i="3"/>
  <c r="V30" i="3"/>
  <c r="V36" i="3"/>
  <c r="V34" i="3"/>
  <c r="AB69" i="3" l="1"/>
  <c r="Y67" i="3"/>
  <c r="Y76" i="3" s="1"/>
  <c r="V16" i="3"/>
  <c r="V17" i="3"/>
  <c r="V18" i="3"/>
  <c r="V32" i="3"/>
  <c r="E39" i="3" l="1"/>
  <c r="D39" i="3"/>
  <c r="D30" i="3"/>
  <c r="D32" i="3"/>
  <c r="E34" i="3"/>
  <c r="F33" i="3"/>
  <c r="E32" i="3"/>
  <c r="E36" i="3"/>
  <c r="E35" i="3"/>
  <c r="E33" i="3" s="1"/>
  <c r="E30" i="3"/>
  <c r="X52" i="3"/>
  <c r="X51" i="3" s="1"/>
  <c r="W52" i="3"/>
  <c r="K16" i="4"/>
  <c r="N16" i="4" s="1"/>
  <c r="Q16" i="4" s="1"/>
  <c r="K17" i="4"/>
  <c r="N17" i="4" s="1"/>
  <c r="Q17" i="4" s="1"/>
  <c r="K18" i="4"/>
  <c r="N18" i="4" s="1"/>
  <c r="Q18" i="4" s="1"/>
  <c r="K19" i="4"/>
  <c r="N19" i="4" s="1"/>
  <c r="Q19" i="4" s="1"/>
  <c r="K20" i="4"/>
  <c r="N20" i="4" s="1"/>
  <c r="Q20" i="4" s="1"/>
  <c r="K21" i="4"/>
  <c r="N21" i="4" s="1"/>
  <c r="Q21" i="4" s="1"/>
  <c r="K22" i="4"/>
  <c r="N22" i="4" s="1"/>
  <c r="Q22" i="4" s="1"/>
  <c r="K23" i="4"/>
  <c r="N23" i="4" s="1"/>
  <c r="Q23" i="4" s="1"/>
  <c r="K24" i="4"/>
  <c r="N24" i="4" s="1"/>
  <c r="Q24" i="4" s="1"/>
  <c r="K15" i="4"/>
  <c r="N15" i="4" s="1"/>
  <c r="Q15" i="4" s="1"/>
  <c r="K30" i="4"/>
  <c r="N30" i="4" s="1"/>
  <c r="Q30" i="4" s="1"/>
  <c r="K31" i="4"/>
  <c r="N31" i="4" s="1"/>
  <c r="Q31" i="4" s="1"/>
  <c r="K32" i="4"/>
  <c r="N32" i="4" s="1"/>
  <c r="Q32" i="4" s="1"/>
  <c r="K34" i="4"/>
  <c r="N34" i="4" s="1"/>
  <c r="Q34" i="4" s="1"/>
  <c r="K35" i="4"/>
  <c r="N35" i="4" s="1"/>
  <c r="Q35" i="4" s="1"/>
  <c r="K36" i="4"/>
  <c r="N36" i="4" s="1"/>
  <c r="Q36" i="4" s="1"/>
  <c r="K37" i="4"/>
  <c r="N37" i="4" s="1"/>
  <c r="Q37" i="4" s="1"/>
  <c r="K38" i="4"/>
  <c r="N38" i="4" s="1"/>
  <c r="Q38" i="4" s="1"/>
  <c r="K39" i="4"/>
  <c r="N39" i="4" s="1"/>
  <c r="Q39" i="4" s="1"/>
  <c r="K29" i="4"/>
  <c r="N29" i="4" s="1"/>
  <c r="Q29" i="4" s="1"/>
  <c r="P51" i="4"/>
  <c r="G58" i="4"/>
  <c r="J59" i="4"/>
  <c r="M59" i="4" s="1"/>
  <c r="J58" i="4"/>
  <c r="P68" i="4"/>
  <c r="P69" i="4"/>
  <c r="P70" i="4"/>
  <c r="P67" i="4"/>
  <c r="W36" i="3"/>
  <c r="W19" i="3"/>
  <c r="W39" i="3"/>
  <c r="W34" i="3"/>
  <c r="Q19" i="3"/>
  <c r="V35" i="3"/>
  <c r="V51" i="3"/>
  <c r="P51" i="3"/>
  <c r="W55" i="3"/>
  <c r="F39" i="3"/>
  <c r="W51" i="3" l="1"/>
  <c r="P66" i="4"/>
  <c r="Q30" i="3" l="1"/>
  <c r="Q34" i="3"/>
  <c r="R39" i="3" l="1"/>
  <c r="V33" i="3"/>
  <c r="D36" i="3" l="1"/>
  <c r="D34" i="3"/>
  <c r="G34" i="3" s="1"/>
  <c r="F15" i="3"/>
  <c r="F22" i="3"/>
  <c r="G22" i="3" s="1"/>
  <c r="E19" i="3"/>
  <c r="G21" i="3"/>
  <c r="I21" i="3" s="1"/>
  <c r="G20" i="3"/>
  <c r="E51" i="3"/>
  <c r="F51" i="3"/>
  <c r="D51" i="3"/>
  <c r="Q39" i="3"/>
  <c r="Q32" i="3"/>
  <c r="Q36" i="3"/>
  <c r="Q35" i="3"/>
  <c r="Q33" i="3" s="1"/>
  <c r="R33" i="3"/>
  <c r="J63" i="4"/>
  <c r="M63" i="4" s="1"/>
  <c r="P63" i="4" s="1"/>
  <c r="J64" i="4"/>
  <c r="M64" i="4" s="1"/>
  <c r="P64" i="4" s="1"/>
  <c r="J65" i="4"/>
  <c r="M65" i="4" s="1"/>
  <c r="P65" i="4" s="1"/>
  <c r="J67" i="4"/>
  <c r="J68" i="4"/>
  <c r="J69" i="4"/>
  <c r="J70" i="4"/>
  <c r="J62" i="4"/>
  <c r="M62" i="4" s="1"/>
  <c r="V45" i="3"/>
  <c r="J45" i="4" s="1"/>
  <c r="P45" i="3"/>
  <c r="J45" i="3"/>
  <c r="G45" i="4" s="1"/>
  <c r="D45" i="3"/>
  <c r="D45" i="4" s="1"/>
  <c r="G55" i="4"/>
  <c r="G52" i="3"/>
  <c r="D52" i="4" s="1"/>
  <c r="Y52" i="3"/>
  <c r="J52" i="4" s="1"/>
  <c r="S52" i="3"/>
  <c r="Q51" i="3"/>
  <c r="R51" i="3"/>
  <c r="K51" i="3"/>
  <c r="M53" i="3"/>
  <c r="G53" i="4" s="1"/>
  <c r="M54" i="3"/>
  <c r="G54" i="4" s="1"/>
  <c r="M55" i="3"/>
  <c r="M52" i="3"/>
  <c r="G52" i="4" s="1"/>
  <c r="J51" i="3"/>
  <c r="L51" i="3"/>
  <c r="E23" i="4"/>
  <c r="E24" i="4"/>
  <c r="E30" i="4"/>
  <c r="E31" i="4"/>
  <c r="E32" i="4"/>
  <c r="E34" i="4"/>
  <c r="E35" i="4"/>
  <c r="E36" i="4"/>
  <c r="E37" i="4"/>
  <c r="E38" i="4"/>
  <c r="E39" i="4"/>
  <c r="E29" i="4"/>
  <c r="M71" i="4" l="1"/>
  <c r="P62" i="4"/>
  <c r="J66" i="4"/>
  <c r="G51" i="3"/>
  <c r="M51" i="3"/>
  <c r="G51" i="4" s="1"/>
  <c r="Z33" i="3" l="1"/>
  <c r="K33" i="4" s="1"/>
  <c r="W33" i="3"/>
  <c r="W40" i="3" s="1"/>
  <c r="X33" i="3"/>
  <c r="V40" i="3"/>
  <c r="N33" i="3"/>
  <c r="K33" i="3"/>
  <c r="L33" i="3"/>
  <c r="J33" i="3"/>
  <c r="N33" i="4" l="1"/>
  <c r="Q33" i="4" s="1"/>
  <c r="K40" i="4"/>
  <c r="H16" i="4"/>
  <c r="H17" i="4"/>
  <c r="H18" i="4"/>
  <c r="H19" i="4"/>
  <c r="H20" i="4"/>
  <c r="H21" i="4"/>
  <c r="H22" i="4"/>
  <c r="H23" i="4"/>
  <c r="H24" i="4"/>
  <c r="H15" i="4"/>
  <c r="P39" i="3"/>
  <c r="P34" i="3"/>
  <c r="P33" i="3" s="1"/>
  <c r="P40" i="3" s="1"/>
  <c r="E16" i="4"/>
  <c r="E17" i="4"/>
  <c r="E18" i="4"/>
  <c r="E19" i="4"/>
  <c r="E20" i="4"/>
  <c r="E21" i="4"/>
  <c r="E22" i="4"/>
  <c r="D21" i="4"/>
  <c r="D22" i="4"/>
  <c r="E15" i="4"/>
  <c r="R22" i="3"/>
  <c r="P17" i="3"/>
  <c r="T15" i="3"/>
  <c r="T33" i="3"/>
  <c r="T40" i="3" s="1"/>
  <c r="R15" i="3"/>
  <c r="D17" i="3"/>
  <c r="D25" i="3" s="1"/>
  <c r="F22" i="4" l="1"/>
  <c r="E25" i="4"/>
  <c r="F21" i="4"/>
  <c r="D33" i="3" l="1"/>
  <c r="D40" i="3" s="1"/>
  <c r="H33" i="3"/>
  <c r="E33" i="4" s="1"/>
  <c r="P71" i="4"/>
  <c r="J71" i="4"/>
  <c r="G66" i="4"/>
  <c r="G71" i="4" s="1"/>
  <c r="D66" i="4"/>
  <c r="D71" i="4" s="1"/>
  <c r="Y36" i="3" l="1"/>
  <c r="S36" i="3"/>
  <c r="U36" i="3" s="1"/>
  <c r="M36" i="3"/>
  <c r="G36" i="4" s="1"/>
  <c r="G36" i="3"/>
  <c r="Y18" i="3"/>
  <c r="S18" i="3"/>
  <c r="U18" i="3" s="1"/>
  <c r="M18" i="3"/>
  <c r="G18" i="3"/>
  <c r="O18" i="3" l="1"/>
  <c r="G18" i="4"/>
  <c r="AA18" i="3"/>
  <c r="J18" i="4"/>
  <c r="M18" i="4" s="1"/>
  <c r="AA36" i="3"/>
  <c r="J36" i="4"/>
  <c r="M36" i="4" s="1"/>
  <c r="P36" i="4" s="1"/>
  <c r="R36" i="4" s="1"/>
  <c r="I18" i="3"/>
  <c r="D18" i="4"/>
  <c r="F18" i="4" s="1"/>
  <c r="I36" i="3"/>
  <c r="D36" i="4"/>
  <c r="F36" i="4" s="1"/>
  <c r="I18" i="4"/>
  <c r="H39" i="4"/>
  <c r="H38" i="4"/>
  <c r="H37" i="4"/>
  <c r="H36" i="4"/>
  <c r="H35" i="4"/>
  <c r="H34" i="4"/>
  <c r="H33" i="4"/>
  <c r="H32" i="4"/>
  <c r="H31" i="4"/>
  <c r="H30" i="4"/>
  <c r="H29" i="4"/>
  <c r="L18" i="4" l="1"/>
  <c r="P18" i="4"/>
  <c r="R18" i="4" s="1"/>
  <c r="O18" i="4"/>
  <c r="H25" i="4"/>
  <c r="M35" i="3"/>
  <c r="G35" i="4" s="1"/>
  <c r="N25" i="4"/>
  <c r="Q25" i="4"/>
  <c r="O36" i="4"/>
  <c r="N40" i="4"/>
  <c r="Q40" i="4"/>
  <c r="Q41" i="4" l="1"/>
  <c r="N41" i="4"/>
  <c r="H40" i="4"/>
  <c r="H41" i="4" s="1"/>
  <c r="I35" i="4"/>
  <c r="E40" i="4"/>
  <c r="Z25" i="3"/>
  <c r="X25" i="3"/>
  <c r="W25" i="3"/>
  <c r="W41" i="3" s="1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E41" i="4"/>
  <c r="M25" i="3"/>
  <c r="Y55" i="3"/>
  <c r="J55" i="4" s="1"/>
  <c r="Y54" i="3"/>
  <c r="J54" i="4" s="1"/>
  <c r="Y53" i="3"/>
  <c r="J53" i="4" s="1"/>
  <c r="Y51" i="3"/>
  <c r="J51" i="4" s="1"/>
  <c r="S55" i="3"/>
  <c r="S54" i="3"/>
  <c r="S53" i="3"/>
  <c r="G54" i="3"/>
  <c r="D54" i="4" s="1"/>
  <c r="G55" i="3"/>
  <c r="D55" i="4" s="1"/>
  <c r="Z40" i="3"/>
  <c r="X40" i="3"/>
  <c r="Y39" i="3"/>
  <c r="J39" i="4" s="1"/>
  <c r="M39" i="4" s="1"/>
  <c r="Y38" i="3"/>
  <c r="J38" i="4" s="1"/>
  <c r="M38" i="4" s="1"/>
  <c r="Y37" i="3"/>
  <c r="Y35" i="3"/>
  <c r="J35" i="4" s="1"/>
  <c r="M35" i="4" s="1"/>
  <c r="Y34" i="3"/>
  <c r="J34" i="4" s="1"/>
  <c r="M34" i="4" s="1"/>
  <c r="Y33" i="3"/>
  <c r="J33" i="4" s="1"/>
  <c r="M33" i="4" s="1"/>
  <c r="Y32" i="3"/>
  <c r="J32" i="4" s="1"/>
  <c r="M32" i="4" s="1"/>
  <c r="Y31" i="3"/>
  <c r="J31" i="4" s="1"/>
  <c r="M31" i="4" s="1"/>
  <c r="Y30" i="3"/>
  <c r="J30" i="4" s="1"/>
  <c r="M30" i="4" s="1"/>
  <c r="Y29" i="3"/>
  <c r="J29" i="4" s="1"/>
  <c r="Y24" i="3"/>
  <c r="J24" i="4" s="1"/>
  <c r="M24" i="4" s="1"/>
  <c r="Y23" i="3"/>
  <c r="J23" i="4" s="1"/>
  <c r="M23" i="4" s="1"/>
  <c r="Y22" i="3"/>
  <c r="J22" i="4" s="1"/>
  <c r="M22" i="4" s="1"/>
  <c r="Y21" i="3"/>
  <c r="J21" i="4" s="1"/>
  <c r="M21" i="4" s="1"/>
  <c r="Y20" i="3"/>
  <c r="J20" i="4" s="1"/>
  <c r="M20" i="4" s="1"/>
  <c r="Y19" i="3"/>
  <c r="Y17" i="3"/>
  <c r="J17" i="4" s="1"/>
  <c r="M17" i="4" s="1"/>
  <c r="Y16" i="3"/>
  <c r="J16" i="4" s="1"/>
  <c r="M16" i="4" s="1"/>
  <c r="Y15" i="3"/>
  <c r="J15" i="4" s="1"/>
  <c r="M15" i="4" s="1"/>
  <c r="S15" i="3"/>
  <c r="U15" i="3" s="1"/>
  <c r="R40" i="3"/>
  <c r="Q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S17" i="3"/>
  <c r="U17" i="3" s="1"/>
  <c r="S16" i="3"/>
  <c r="U16" i="3" s="1"/>
  <c r="P16" i="4" l="1"/>
  <c r="R16" i="4" s="1"/>
  <c r="O16" i="4"/>
  <c r="P15" i="4"/>
  <c r="O15" i="4"/>
  <c r="P21" i="4"/>
  <c r="R21" i="4" s="1"/>
  <c r="O21" i="4"/>
  <c r="P22" i="4"/>
  <c r="R22" i="4" s="1"/>
  <c r="O22" i="4"/>
  <c r="P39" i="4"/>
  <c r="R39" i="4" s="1"/>
  <c r="O39" i="4"/>
  <c r="P17" i="4"/>
  <c r="R17" i="4" s="1"/>
  <c r="O17" i="4"/>
  <c r="P20" i="4"/>
  <c r="R20" i="4" s="1"/>
  <c r="O20" i="4"/>
  <c r="P23" i="4"/>
  <c r="R23" i="4" s="1"/>
  <c r="O23" i="4"/>
  <c r="P35" i="4"/>
  <c r="R35" i="4" s="1"/>
  <c r="O35" i="4"/>
  <c r="P24" i="4"/>
  <c r="R24" i="4" s="1"/>
  <c r="O24" i="4"/>
  <c r="P38" i="4"/>
  <c r="R38" i="4" s="1"/>
  <c r="O38" i="4"/>
  <c r="P34" i="4"/>
  <c r="R34" i="4" s="1"/>
  <c r="O34" i="4"/>
  <c r="AA19" i="3"/>
  <c r="J19" i="4"/>
  <c r="M19" i="4" s="1"/>
  <c r="M25" i="4" s="1"/>
  <c r="AA37" i="3"/>
  <c r="J37" i="4"/>
  <c r="M37" i="4" s="1"/>
  <c r="L29" i="4"/>
  <c r="J40" i="4"/>
  <c r="M29" i="4"/>
  <c r="P31" i="4"/>
  <c r="R31" i="4" s="1"/>
  <c r="O31" i="4"/>
  <c r="P33" i="4"/>
  <c r="R33" i="4" s="1"/>
  <c r="O33" i="4"/>
  <c r="P30" i="4"/>
  <c r="R30" i="4" s="1"/>
  <c r="O30" i="4"/>
  <c r="P32" i="4"/>
  <c r="R32" i="4" s="1"/>
  <c r="O32" i="4"/>
  <c r="U19" i="3"/>
  <c r="L19" i="4"/>
  <c r="S51" i="3"/>
  <c r="U25" i="3"/>
  <c r="AA23" i="3"/>
  <c r="L23" i="4"/>
  <c r="AA30" i="3"/>
  <c r="L30" i="4"/>
  <c r="AA34" i="3"/>
  <c r="L34" i="4"/>
  <c r="AA38" i="3"/>
  <c r="L38" i="4"/>
  <c r="AA15" i="3"/>
  <c r="AA20" i="3"/>
  <c r="L20" i="4" s="1"/>
  <c r="AA24" i="3"/>
  <c r="L24" i="4"/>
  <c r="AA31" i="3"/>
  <c r="L31" i="4"/>
  <c r="AA35" i="3"/>
  <c r="L35" i="4"/>
  <c r="AA39" i="3"/>
  <c r="L39" i="4"/>
  <c r="AA16" i="3"/>
  <c r="AA21" i="3"/>
  <c r="L21" i="4" s="1"/>
  <c r="AA32" i="3"/>
  <c r="L32" i="4"/>
  <c r="L36" i="4"/>
  <c r="AA17" i="3"/>
  <c r="L17" i="4"/>
  <c r="AA22" i="3"/>
  <c r="L22" i="4" s="1"/>
  <c r="AA29" i="3"/>
  <c r="AA33" i="3"/>
  <c r="L33" i="4"/>
  <c r="Z41" i="3"/>
  <c r="X41" i="3"/>
  <c r="V41" i="3"/>
  <c r="Y40" i="3"/>
  <c r="R41" i="3"/>
  <c r="T41" i="3"/>
  <c r="S40" i="3"/>
  <c r="Q41" i="3"/>
  <c r="U40" i="3"/>
  <c r="P41" i="3"/>
  <c r="G29" i="3"/>
  <c r="D29" i="4" s="1"/>
  <c r="F29" i="4" s="1"/>
  <c r="G15" i="3"/>
  <c r="D15" i="4" s="1"/>
  <c r="F15" i="4" s="1"/>
  <c r="L37" i="4" l="1"/>
  <c r="P37" i="4"/>
  <c r="R37" i="4" s="1"/>
  <c r="O37" i="4"/>
  <c r="P19" i="4"/>
  <c r="R19" i="4" s="1"/>
  <c r="O19" i="4"/>
  <c r="O25" i="4" s="1"/>
  <c r="R15" i="4"/>
  <c r="R25" i="4" s="1"/>
  <c r="P25" i="4"/>
  <c r="P29" i="4"/>
  <c r="M40" i="4"/>
  <c r="M41" i="4" s="1"/>
  <c r="O29" i="4"/>
  <c r="O40" i="4" s="1"/>
  <c r="K25" i="4"/>
  <c r="K41" i="4" s="1"/>
  <c r="L16" i="4"/>
  <c r="AA25" i="3"/>
  <c r="AA40" i="3"/>
  <c r="L40" i="4"/>
  <c r="L15" i="4"/>
  <c r="J25" i="4"/>
  <c r="Y41" i="3"/>
  <c r="S41" i="3"/>
  <c r="U41" i="3"/>
  <c r="U42" i="3" s="1"/>
  <c r="G39" i="3"/>
  <c r="D39" i="4" s="1"/>
  <c r="F39" i="4" s="1"/>
  <c r="O41" i="4" l="1"/>
  <c r="O42" i="4" s="1"/>
  <c r="L25" i="4"/>
  <c r="L41" i="4" s="1"/>
  <c r="L42" i="4" s="1"/>
  <c r="R29" i="4"/>
  <c r="R40" i="4" s="1"/>
  <c r="R41" i="4" s="1"/>
  <c r="R42" i="4" s="1"/>
  <c r="P40" i="4"/>
  <c r="P41" i="4" s="1"/>
  <c r="AA41" i="3"/>
  <c r="AA42" i="3" s="1"/>
  <c r="J41" i="4"/>
  <c r="G19" i="3"/>
  <c r="D19" i="4" s="1"/>
  <c r="F19" i="4" s="1"/>
  <c r="G53" i="3" l="1"/>
  <c r="D53" i="4" s="1"/>
  <c r="D51" i="4"/>
  <c r="N40" i="3" l="1"/>
  <c r="L40" i="3"/>
  <c r="K40" i="3"/>
  <c r="M39" i="3"/>
  <c r="G39" i="4" s="1"/>
  <c r="M38" i="3"/>
  <c r="G38" i="4" s="1"/>
  <c r="M37" i="3"/>
  <c r="O35" i="3"/>
  <c r="AB35" i="3" s="1"/>
  <c r="M34" i="3"/>
  <c r="G34" i="4" s="1"/>
  <c r="M33" i="3"/>
  <c r="G33" i="4" s="1"/>
  <c r="M32" i="3"/>
  <c r="G32" i="4" s="1"/>
  <c r="J40" i="3"/>
  <c r="M30" i="3"/>
  <c r="G30" i="4" s="1"/>
  <c r="M29" i="3"/>
  <c r="G29" i="4" s="1"/>
  <c r="M24" i="3"/>
  <c r="G24" i="4" s="1"/>
  <c r="M23" i="3"/>
  <c r="G23" i="4" s="1"/>
  <c r="I23" i="4" s="1"/>
  <c r="M22" i="3"/>
  <c r="G22" i="4" s="1"/>
  <c r="M21" i="3"/>
  <c r="G21" i="4" s="1"/>
  <c r="M20" i="3"/>
  <c r="G20" i="4" s="1"/>
  <c r="M19" i="3"/>
  <c r="G19" i="4" s="1"/>
  <c r="M17" i="3"/>
  <c r="M16" i="3"/>
  <c r="G16" i="4" s="1"/>
  <c r="M15" i="3"/>
  <c r="G15" i="4" s="1"/>
  <c r="I15" i="4" s="1"/>
  <c r="F40" i="3"/>
  <c r="E40" i="3"/>
  <c r="H40" i="3"/>
  <c r="I39" i="3"/>
  <c r="G30" i="3"/>
  <c r="D30" i="4" s="1"/>
  <c r="F30" i="4" s="1"/>
  <c r="G32" i="3"/>
  <c r="D32" i="4" s="1"/>
  <c r="F32" i="4" s="1"/>
  <c r="G33" i="3"/>
  <c r="D33" i="4" s="1"/>
  <c r="F33" i="4" s="1"/>
  <c r="D34" i="4"/>
  <c r="F34" i="4" s="1"/>
  <c r="G35" i="3"/>
  <c r="D35" i="4" s="1"/>
  <c r="F35" i="4" s="1"/>
  <c r="G37" i="3"/>
  <c r="D37" i="4" s="1"/>
  <c r="F37" i="4" s="1"/>
  <c r="G38" i="3"/>
  <c r="D38" i="4" s="1"/>
  <c r="F38" i="4" s="1"/>
  <c r="I29" i="3"/>
  <c r="G31" i="3"/>
  <c r="D31" i="4" s="1"/>
  <c r="F31" i="4" s="1"/>
  <c r="I15" i="3"/>
  <c r="G16" i="3"/>
  <c r="D16" i="4" s="1"/>
  <c r="F16" i="4" s="1"/>
  <c r="G17" i="3"/>
  <c r="D17" i="4" s="1"/>
  <c r="F17" i="4" s="1"/>
  <c r="I19" i="3"/>
  <c r="D20" i="4"/>
  <c r="F20" i="4" s="1"/>
  <c r="G23" i="3"/>
  <c r="D23" i="4" s="1"/>
  <c r="F23" i="4" s="1"/>
  <c r="G24" i="3"/>
  <c r="D24" i="4" s="1"/>
  <c r="F24" i="4" s="1"/>
  <c r="G37" i="4" l="1"/>
  <c r="I37" i="4" s="1"/>
  <c r="O21" i="3"/>
  <c r="AB21" i="3" s="1"/>
  <c r="I21" i="4"/>
  <c r="O15" i="3"/>
  <c r="AB15" i="3" s="1"/>
  <c r="O22" i="3"/>
  <c r="AB22" i="3" s="1"/>
  <c r="I22" i="4"/>
  <c r="O16" i="3"/>
  <c r="AB16" i="3" s="1"/>
  <c r="I16" i="4"/>
  <c r="O23" i="3"/>
  <c r="AB23" i="3" s="1"/>
  <c r="O17" i="3"/>
  <c r="AB17" i="3" s="1"/>
  <c r="G17" i="4"/>
  <c r="I17" i="4" s="1"/>
  <c r="O24" i="3"/>
  <c r="AB24" i="3" s="1"/>
  <c r="I24" i="4"/>
  <c r="O19" i="3"/>
  <c r="AB19" i="3" s="1"/>
  <c r="I19" i="4"/>
  <c r="O20" i="3"/>
  <c r="AB20" i="3" s="1"/>
  <c r="I20" i="4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G31" i="4" s="1"/>
  <c r="O37" i="3"/>
  <c r="AB37" i="3" s="1"/>
  <c r="L41" i="3"/>
  <c r="H41" i="3"/>
  <c r="F41" i="3"/>
  <c r="I25" i="3" l="1"/>
  <c r="G25" i="4"/>
  <c r="I25" i="4"/>
  <c r="O25" i="3"/>
  <c r="AB25" i="3" s="1"/>
  <c r="I40" i="3"/>
  <c r="O31" i="3"/>
  <c r="AB31" i="3" s="1"/>
  <c r="I31" i="4"/>
  <c r="F25" i="4"/>
  <c r="D25" i="4"/>
  <c r="F40" i="4"/>
  <c r="D40" i="4"/>
  <c r="I32" i="4"/>
  <c r="D41" i="3"/>
  <c r="G40" i="3"/>
  <c r="G41" i="3" s="1"/>
  <c r="M41" i="3"/>
  <c r="I40" i="4" l="1"/>
  <c r="G40" i="4"/>
  <c r="G41" i="4" s="1"/>
  <c r="F41" i="4"/>
  <c r="F42" i="4" s="1"/>
  <c r="D41" i="4"/>
  <c r="O40" i="3"/>
  <c r="AB40" i="3" s="1"/>
  <c r="I41" i="3"/>
  <c r="I42" i="3" s="1"/>
  <c r="I41" i="4" l="1"/>
  <c r="I42" i="4" s="1"/>
  <c r="O41" i="3"/>
  <c r="AB41" i="3" l="1"/>
  <c r="O42" i="3"/>
  <c r="AB42" i="3" s="1"/>
  <c r="M5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vbuchtova</author>
  </authors>
  <commentList>
    <comment ref="V16" authorId="0" shapeId="0" xr:uid="{8A89D4F0-D130-4DA8-93DA-36068543F226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rozpuštěno UZB 704 , spoluúčast OP JAK II v částce 74,2 tisíc</t>
        </r>
      </text>
    </comment>
    <comment ref="D17" authorId="0" shapeId="0" xr:uid="{C27649FE-0989-47C7-B201-6DE226639ADE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701,702,703,704
</t>
        </r>
      </text>
    </comment>
    <comment ref="V17" authorId="0" shapeId="0" xr:uid="{0E409494-8BC1-44C1-9F83-FE2AD54CB85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 a UZ 706
</t>
        </r>
      </text>
    </comment>
    <comment ref="W19" authorId="0" shapeId="0" xr:uid="{21709138-A7B7-440A-BBF5-14AC6041880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+ personální kapacita + šablony </t>
        </r>
      </text>
    </comment>
    <comment ref="R22" authorId="0" shapeId="0" xr:uid="{7E586B01-D354-4337-B2E0-40683BD8C68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úroky </t>
        </r>
      </text>
    </comment>
    <comment ref="V30" authorId="0" shapeId="0" xr:uid="{26006967-AD8F-4F94-8E28-19D3EE4B54E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- učebnice a učební pomůcky ONIV + 500 Z UZ 707
100 tis. menstruační vložky 
+50 tis. UZ 706</t>
        </r>
      </text>
    </comment>
    <comment ref="P33" authorId="0" shapeId="0" xr:uid="{12053D54-CD97-499D-97B8-961543157E9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701+702 : 124 tis.+70 tis</t>
        </r>
      </text>
    </comment>
    <comment ref="V33" authorId="0" shapeId="0" xr:uid="{997E980E-2991-49DE-9A53-B876EE33D38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701+702 : 124 tis.+70 tis</t>
        </r>
      </text>
    </comment>
    <comment ref="V34" authorId="0" shapeId="0" xr:uid="{E18C498D-2EC7-4B3B-86EE-7D77DB6071DE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707 + UZ 701 130,3
</t>
        </r>
      </text>
    </comment>
    <comment ref="D36" authorId="0" shapeId="0" xr:uid="{9851CC1B-26D8-42CC-8A47-C9A97A562E8B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SP+ZP z UZ 701 a 702</t>
        </r>
      </text>
    </comment>
    <comment ref="P36" authorId="0" shapeId="0" xr:uid="{0D301E41-3FF2-4605-91DA-06663245712B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SP + ZP Z UZB 701+702
</t>
        </r>
      </text>
    </comment>
    <comment ref="V36" authorId="0" shapeId="0" xr:uid="{9BC93A80-CED4-40A1-8BA9-157ABB56DC35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707 + UZ 701 44,1,</t>
        </r>
      </text>
    </comment>
    <comment ref="W36" authorId="0" shapeId="0" xr:uid="{6C9AB69A-FB72-41FD-895F-9A1B40EFF01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 JAK, SR, OPST 
165,5, 9983,8, 344,1</t>
        </r>
      </text>
    </comment>
    <comment ref="Q39" authorId="0" shapeId="0" xr:uid="{E4E970DF-DB19-4232-B0F5-19CA37DC74F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úprava zaokrouhlování na výsledovku - nedá se přesně když na tísíce
</t>
        </r>
      </text>
    </comment>
    <comment ref="V39" authorId="0" shapeId="0" xr:uid="{ADB07209-86E3-42AA-A0D0-4B04D29215B3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FKSP + ONIV vyjma 501 -ičebnice 
+FKSP z UZ 707 a  ONIV 558
UZ 701 FKSP 1,3</t>
        </r>
      </text>
    </comment>
    <comment ref="W39" authorId="0" shapeId="0" xr:uid="{3E29C9CA-442A-4347-95A1-C97D73F6EB5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 JAK , OPST, SR
6,6, + 10,3 + 295,4</t>
        </r>
      </text>
    </comment>
    <comment ref="D41" authorId="0" shapeId="0" xr:uid="{B4F71529-6455-4D32-9C05-E269DE12D173}">
      <text>
        <r>
          <rPr>
            <b/>
            <sz val="9"/>
            <color indexed="81"/>
            <rFont val="Tahoma"/>
            <family val="2"/>
            <charset val="238"/>
          </rPr>
          <t xml:space="preserve">Adamová - 0,1 doplněno zkreslení zaokrouhlováním na tisíce </t>
        </r>
      </text>
    </comment>
    <comment ref="W45" authorId="0" shapeId="0" xr:uid="{7113BB47-6D05-4E4B-9FC7-00E4F51E23B4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není zpracováno navýšení za výzvu 92 - učebny přírodních věd - zpracovává odbor internmího auditu
</t>
        </r>
      </text>
    </comment>
    <comment ref="Y61" authorId="0" shapeId="0" xr:uid="{8E010DEA-D3F8-420B-9C7B-50CCB80A9B88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minimální mzdy 
+ dohody
</t>
        </r>
      </text>
    </comment>
    <comment ref="AD61" authorId="0" shapeId="0" xr:uid="{7D40949E-6080-4F57-8F1A-97870EEFC03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minimální mzdy s odvody 
+ dohody</t>
        </r>
      </text>
    </comment>
    <comment ref="Y67" authorId="0" shapeId="0" xr:uid="{EB92466C-B9C1-4FDA-AD62-84809E5342F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po opravě odpočet z odměn, prvotní podklad s chybou
</t>
        </r>
      </text>
    </comment>
    <comment ref="AB69" authorId="0" shapeId="0" xr:uid="{E7437A8D-A954-4268-B9A4-DA3788DC9B96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oprava výpočtu odměn po jednání 11.9.2025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vbuchtova</author>
  </authors>
  <commentList>
    <comment ref="J45" authorId="0" shapeId="0" xr:uid="{C87587E9-5230-4B35-81A7-2CCD5F61B0A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zatím jsem neobdržela od odboru interní audit odpisy - začlenění výzvy 92 - učebny přírodních věd</t>
        </r>
      </text>
    </comment>
    <comment ref="M62" authorId="0" shapeId="0" xr:uid="{47D5B344-7BE5-418A-BCF1-B76E6B8B083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předpoklad navýšení od 1.1.2026  podle rozhodnutí vlády - v mimimální sazbě 5%</t>
        </r>
      </text>
    </comment>
  </commentList>
</comments>
</file>

<file path=xl/sharedStrings.xml><?xml version="1.0" encoding="utf-8"?>
<sst xmlns="http://schemas.openxmlformats.org/spreadsheetml/2006/main" count="401" uniqueCount="163">
  <si>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</si>
  <si>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</si>
  <si>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</si>
  <si>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</si>
  <si>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</si>
  <si>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</si>
  <si>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</si>
  <si>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</si>
  <si>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</si>
  <si>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</si>
  <si>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</si>
  <si>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</si>
  <si>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</si>
  <si>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</si>
  <si>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</si>
  <si>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</si>
  <si>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</si>
  <si>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</si>
  <si>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</si>
  <si>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</si>
  <si>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</si>
  <si>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</si>
  <si>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</si>
  <si>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</si>
  <si>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</si>
  <si>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</si>
  <si>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</si>
  <si>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</si>
  <si>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</si>
  <si>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</si>
  <si>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</si>
  <si>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</si>
  <si>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</si>
  <si>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</si>
  <si>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</si>
  <si>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</si>
  <si>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</si>
  <si>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</si>
  <si>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</si>
  <si>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</si>
  <si>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</si>
  <si>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</si>
  <si>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</si>
  <si>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</si>
  <si>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</si>
  <si>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</si>
  <si>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</si>
  <si>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</si>
  <si>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</si>
  <si>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</si>
  <si>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</si>
  <si>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</si>
  <si>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</si>
  <si>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</si>
  <si>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</si>
  <si>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</si>
  <si>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</si>
  <si>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</si>
  <si>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</si>
  <si>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</si>
  <si>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</si>
  <si>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</si>
  <si>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</si>
  <si>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</si>
  <si>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</si>
  <si>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</si>
  <si>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</si>
  <si>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</si>
  <si>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</si>
  <si>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</si>
  <si>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</si>
  <si>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</si>
  <si>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</si>
  <si>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</si>
  <si>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</si>
  <si>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</si>
  <si>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</si>
  <si>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</si>
  <si>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</si>
  <si>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</si>
  <si>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</si>
  <si>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</si>
  <si>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</si>
  <si>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</si>
  <si>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</si>
  <si>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</si>
  <si>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</si>
  <si>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</si>
  <si>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</si>
  <si>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</si>
  <si>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</si>
  <si>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</si>
  <si>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</si>
  <si>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</si>
  <si>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</si>
  <si>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</si>
  <si>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</si>
  <si>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</si>
  <si>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</si>
  <si>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</si>
  <si>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</si>
  <si>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</si>
  <si>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</si>
  <si>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</si>
  <si>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</si>
  <si>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</si>
  <si>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</si>
  <si>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</si>
  <si>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</si>
  <si>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</si>
  <si>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</si>
  <si>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</si>
  <si>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</si>
  <si>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</si>
  <si>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</si>
  <si>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</si>
  <si>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</si>
  <si>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</si>
  <si>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</si>
  <si>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</si>
  <si>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</si>
  <si>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</si>
  <si>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</si>
  <si>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</si>
  <si>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</si>
  <si>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</si>
  <si>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</si>
  <si>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</si>
  <si>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</si>
  <si>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</si>
  <si>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</si>
  <si>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</si>
  <si>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</si>
  <si>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</si>
  <si>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</si>
  <si>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</si>
  <si>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</si>
  <si>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</si>
  <si>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</si>
  <si>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</si>
  <si>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</si>
  <si>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</si>
  <si>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</si>
  <si>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</si>
  <si>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</si>
  <si>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</si>
  <si>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Odvod zřizovateli zatím v původní výši- čekám na zpracování z odboru interní audit na navýšení za výzvu 92 - učebny přírodních věd -bude aktualizováno až při jednání o rozpočtu</t>
  </si>
  <si>
    <t>Bc. Michaela Adamová</t>
  </si>
  <si>
    <t>Základní škola Chomutov, Březenecká 4679</t>
  </si>
  <si>
    <t>Březenecká 4679, Chomutov, 43004</t>
  </si>
  <si>
    <t xml:space="preserve">Navýšení rozpočtu na rok 2026 ve výši 1,34% 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</si>
  <si>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</si>
  <si>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 xml:space="preserve">1. počítáno se snížením nákladů na energie díky úsporným opatřením provedeným v roce 2025 ( omezení průtoku vody u baterii, výměna většiny osvětlení, výměna regulátorů topení.) </t>
  </si>
  <si>
    <t>2. navýšení v ostatních službách a materiálu - aktualizace s přihlédnutím na skutečné čerpání k 6/2025, plus inflační faktor ( u vybraných položek)</t>
  </si>
  <si>
    <t>UZ 707 rok 2027 a 2028 navýšení o 5% dle předpokladu minimálního % navýšení mezd NePP - dle případné schválené varianty od 1.1.2026</t>
  </si>
  <si>
    <t>Ing. Vladimíra Milt Nováková</t>
  </si>
  <si>
    <t>Objem v tis. UZ 707</t>
  </si>
  <si>
    <t>Limit mzdových prostředků UZ 701</t>
  </si>
  <si>
    <t>Limit mzdových prostředků (OPST )</t>
  </si>
  <si>
    <t xml:space="preserve">Plán 2026 (návrh rozpočtu organizace) </t>
  </si>
  <si>
    <t>verze po 11.9.2025</t>
  </si>
  <si>
    <t>Odvod zřizovateli bez zpracované revize  auditem města</t>
  </si>
  <si>
    <t>18.9.2025, Zpracoval: Bc. Michaela Adamová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</si>
</sst>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90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52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1" fillId="5" borderId="21" xfId="0" applyNumberFormat="1" applyFont="1" applyFill="1" applyBorder="1"/>
    <xf numFmtId="0" fontId="1" fillId="4" borderId="58" xfId="0" applyFont="1" applyFill="1" applyBorder="1" applyAlignment="1">
      <alignment horizontal="center" vertical="center" wrapText="1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/>
    <xf numFmtId="0" fontId="7" fillId="4" borderId="50" xfId="0" applyFont="1" applyFill="1" applyBorder="1"/>
    <xf numFmtId="0" fontId="1" fillId="8" borderId="63" xfId="0" applyFont="1" applyFill="1" applyBorder="1"/>
    <xf numFmtId="164" fontId="1" fillId="8" borderId="63" xfId="0" applyNumberFormat="1" applyFont="1" applyFill="1" applyBorder="1" applyProtection="1">
      <protection locked="0"/>
    </xf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165" fontId="0" fillId="10" borderId="49" xfId="0" applyNumberFormat="1" applyFill="1" applyBorder="1" applyAlignment="1" applyProtection="1">
      <alignment horizontal="right"/>
      <protection locked="0"/>
    </xf>
    <xf numFmtId="165" fontId="6" fillId="5" borderId="49" xfId="0" applyNumberFormat="1" applyFont="1" applyFill="1" applyBorder="1" applyAlignment="1" applyProtection="1">
      <alignment horizontal="right"/>
      <protection locked="0"/>
    </xf>
    <xf numFmtId="164" fontId="23" fillId="11" borderId="51" xfId="0" applyNumberFormat="1" applyFont="1" applyFill="1" applyBorder="1" applyAlignment="1">
      <alignment horizontal="right"/>
    </xf>
    <xf numFmtId="164" fontId="23" fillId="11" borderId="9" xfId="0" applyNumberFormat="1" applyFont="1" applyFill="1" applyBorder="1" applyAlignment="1">
      <alignment horizontal="right"/>
    </xf>
    <xf numFmtId="164" fontId="23" fillId="11" borderId="1" xfId="0" applyNumberFormat="1" applyFont="1" applyFill="1" applyBorder="1" applyAlignment="1">
      <alignment horizontal="right"/>
    </xf>
    <xf numFmtId="164" fontId="23" fillId="11" borderId="49" xfId="0" applyNumberFormat="1" applyFont="1" applyFill="1" applyBorder="1" applyAlignment="1">
      <alignment horizontal="right"/>
    </xf>
    <xf numFmtId="164" fontId="7" fillId="0" borderId="9" xfId="0" applyNumberFormat="1" applyFont="1" applyBorder="1" applyAlignment="1" applyProtection="1">
      <alignment horizontal="right"/>
      <protection locked="0"/>
    </xf>
    <xf numFmtId="164" fontId="7" fillId="0" borderId="8" xfId="0" applyNumberFormat="1" applyFont="1" applyBorder="1" applyAlignment="1" applyProtection="1">
      <alignment horizontal="right"/>
      <protection locked="0"/>
    </xf>
    <xf numFmtId="164" fontId="7" fillId="11" borderId="1" xfId="0" applyNumberFormat="1" applyFont="1" applyFill="1" applyBorder="1" applyAlignment="1">
      <alignment horizontal="right"/>
    </xf>
    <xf numFmtId="164" fontId="7" fillId="0" borderId="43" xfId="0" applyNumberFormat="1" applyFont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164" fontId="7" fillId="0" borderId="44" xfId="0" applyNumberFormat="1" applyFont="1" applyBorder="1" applyAlignment="1" applyProtection="1">
      <alignment horizontal="right"/>
      <protection locked="0"/>
    </xf>
    <xf numFmtId="164" fontId="7" fillId="0" borderId="12" xfId="0" applyNumberFormat="1" applyFont="1" applyBorder="1" applyAlignment="1" applyProtection="1">
      <alignment horizontal="right"/>
      <protection locked="0"/>
    </xf>
    <xf numFmtId="164" fontId="7" fillId="11" borderId="49" xfId="0" applyNumberFormat="1" applyFont="1" applyFill="1" applyBorder="1" applyAlignment="1">
      <alignment horizontal="right"/>
    </xf>
    <xf numFmtId="164" fontId="7" fillId="0" borderId="15" xfId="0" applyNumberFormat="1" applyFont="1" applyBorder="1" applyAlignment="1" applyProtection="1">
      <alignment horizontal="right"/>
      <protection locked="0"/>
    </xf>
    <xf numFmtId="164" fontId="7" fillId="0" borderId="23" xfId="0" applyNumberFormat="1" applyFont="1" applyBorder="1" applyAlignment="1">
      <alignment horizontal="right"/>
    </xf>
    <xf numFmtId="164" fontId="7" fillId="11" borderId="11" xfId="0" applyNumberFormat="1" applyFont="1" applyFill="1" applyBorder="1" applyAlignment="1">
      <alignment horizontal="right"/>
    </xf>
    <xf numFmtId="164" fontId="7" fillId="11" borderId="44" xfId="0" applyNumberFormat="1" applyFont="1" applyFill="1" applyBorder="1" applyAlignment="1">
      <alignment horizontal="right"/>
    </xf>
    <xf numFmtId="164" fontId="7" fillId="0" borderId="16" xfId="0" applyNumberFormat="1" applyFont="1" applyBorder="1" applyAlignment="1" applyProtection="1">
      <alignment horizontal="right"/>
      <protection locked="0"/>
    </xf>
    <xf numFmtId="164" fontId="7" fillId="0" borderId="14" xfId="0" applyNumberFormat="1" applyFont="1" applyBorder="1" applyAlignment="1">
      <alignment horizontal="right"/>
    </xf>
    <xf numFmtId="164" fontId="8" fillId="3" borderId="25" xfId="0" applyNumberFormat="1" applyFont="1" applyFill="1" applyBorder="1" applyAlignment="1">
      <alignment horizontal="right"/>
    </xf>
    <xf numFmtId="164" fontId="8" fillId="3" borderId="26" xfId="0" applyNumberFormat="1" applyFont="1" applyFill="1" applyBorder="1" applyAlignment="1">
      <alignment horizontal="right"/>
    </xf>
    <xf numFmtId="164" fontId="8" fillId="3" borderId="29" xfId="0" applyNumberFormat="1" applyFont="1" applyFill="1" applyBorder="1" applyAlignment="1">
      <alignment horizontal="right"/>
    </xf>
    <xf numFmtId="164" fontId="8" fillId="3" borderId="30" xfId="0" applyNumberFormat="1" applyFont="1" applyFill="1" applyBorder="1" applyAlignment="1">
      <alignment horizontal="right"/>
    </xf>
    <xf numFmtId="164" fontId="7" fillId="0" borderId="23" xfId="0" applyNumberFormat="1" applyFont="1" applyBorder="1" applyAlignment="1" applyProtection="1">
      <alignment horizontal="right"/>
      <protection locked="0"/>
    </xf>
    <xf numFmtId="164" fontId="7" fillId="2" borderId="23" xfId="0" applyNumberFormat="1" applyFont="1" applyFill="1" applyBorder="1" applyAlignment="1" applyProtection="1">
      <alignment horizontal="right"/>
      <protection locked="0"/>
    </xf>
    <xf numFmtId="164" fontId="7" fillId="2" borderId="15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Border="1" applyProtection="1">
      <protection locked="0"/>
    </xf>
    <xf numFmtId="164" fontId="7" fillId="0" borderId="55" xfId="0" applyNumberFormat="1" applyFont="1" applyBorder="1" applyProtection="1">
      <protection locked="0"/>
    </xf>
    <xf numFmtId="164" fontId="7" fillId="0" borderId="13" xfId="0" applyNumberFormat="1" applyFont="1" applyBorder="1" applyAlignment="1">
      <alignment horizontal="right"/>
    </xf>
    <xf numFmtId="164" fontId="7" fillId="0" borderId="2" xfId="0" applyNumberFormat="1" applyFont="1" applyBorder="1" applyProtection="1">
      <protection locked="0"/>
    </xf>
    <xf numFmtId="164" fontId="7" fillId="0" borderId="54" xfId="0" applyNumberFormat="1" applyFont="1" applyBorder="1" applyProtection="1">
      <protection locked="0"/>
    </xf>
    <xf numFmtId="167" fontId="7" fillId="0" borderId="49" xfId="0" applyNumberFormat="1" applyFont="1" applyBorder="1" applyProtection="1">
      <protection locked="0"/>
    </xf>
    <xf numFmtId="164" fontId="7" fillId="0" borderId="57" xfId="0" applyNumberFormat="1" applyFont="1" applyBorder="1" applyProtection="1">
      <protection locked="0"/>
    </xf>
    <xf numFmtId="164" fontId="8" fillId="5" borderId="34" xfId="0" applyNumberFormat="1" applyFont="1" applyFill="1" applyBorder="1"/>
    <xf numFmtId="164" fontId="7" fillId="5" borderId="55" xfId="0" applyNumberFormat="1" applyFont="1" applyFill="1" applyBorder="1" applyProtection="1">
      <protection locked="0"/>
    </xf>
    <xf numFmtId="164" fontId="8" fillId="5" borderId="56" xfId="0" applyNumberFormat="1" applyFont="1" applyFill="1" applyBorder="1"/>
    <xf numFmtId="164" fontId="8" fillId="5" borderId="3" xfId="0" applyNumberFormat="1" applyFont="1" applyFill="1" applyBorder="1"/>
    <xf numFmtId="165" fontId="25" fillId="6" borderId="38" xfId="0" applyNumberFormat="1" applyFont="1" applyFill="1" applyBorder="1"/>
    <xf numFmtId="165" fontId="24" fillId="6" borderId="38" xfId="0" applyNumberFormat="1" applyFont="1" applyFill="1" applyBorder="1"/>
    <xf numFmtId="0" fontId="26" fillId="0" borderId="22" xfId="0" applyFont="1" applyBorder="1"/>
    <xf numFmtId="0" fontId="26" fillId="0" borderId="0" xfId="0" applyFont="1"/>
    <xf numFmtId="0" fontId="16" fillId="0" borderId="22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28" fillId="0" borderId="34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7" fillId="0" borderId="2" xfId="0" applyFont="1" applyBorder="1" applyProtection="1">
      <protection locked="0"/>
    </xf>
    <xf numFmtId="167" fontId="7" fillId="0" borderId="2" xfId="0" applyNumberFormat="1" applyFont="1" applyBorder="1" applyProtection="1">
      <protection locked="0"/>
    </xf>
    <xf numFmtId="164" fontId="7" fillId="0" borderId="40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164" fontId="7" fillId="0" borderId="49" xfId="0" applyNumberFormat="1" applyFont="1" applyBorder="1" applyProtection="1">
      <protection locked="0"/>
    </xf>
    <xf numFmtId="0" fontId="7" fillId="0" borderId="49" xfId="0" applyFont="1" applyBorder="1" applyProtection="1">
      <protection locked="0"/>
    </xf>
    <xf numFmtId="164" fontId="7" fillId="0" borderId="11" xfId="0" applyNumberFormat="1" applyFont="1" applyBorder="1" applyProtection="1">
      <protection locked="0"/>
    </xf>
    <xf numFmtId="0" fontId="8" fillId="12" borderId="1" xfId="0" applyFont="1" applyFill="1" applyBorder="1"/>
    <xf numFmtId="164" fontId="8" fillId="12" borderId="1" xfId="0" applyNumberFormat="1" applyFont="1" applyFill="1" applyBorder="1" applyAlignment="1">
      <alignment horizontal="center"/>
    </xf>
    <xf numFmtId="164" fontId="8" fillId="8" borderId="0" xfId="0" applyNumberFormat="1" applyFont="1" applyFill="1"/>
    <xf numFmtId="164" fontId="8" fillId="0" borderId="1" xfId="0" applyNumberFormat="1" applyFont="1" applyBorder="1" applyAlignment="1" applyProtection="1">
      <alignment horizontal="right"/>
      <protection locked="0"/>
    </xf>
    <xf numFmtId="164" fontId="8" fillId="0" borderId="1" xfId="0" applyNumberFormat="1" applyFont="1" applyBorder="1"/>
    <xf numFmtId="0" fontId="8" fillId="8" borderId="0" xfId="0" applyFont="1" applyFill="1"/>
    <xf numFmtId="164" fontId="29" fillId="8" borderId="0" xfId="0" applyNumberFormat="1" applyFont="1" applyFill="1" applyAlignment="1">
      <alignment horizontal="right"/>
    </xf>
    <xf numFmtId="49" fontId="7" fillId="0" borderId="1" xfId="0" applyNumberFormat="1" applyFont="1" applyBorder="1"/>
    <xf numFmtId="164" fontId="7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49" fontId="7" fillId="8" borderId="0" xfId="0" applyNumberFormat="1" applyFont="1" applyFill="1"/>
    <xf numFmtId="164" fontId="7" fillId="8" borderId="0" xfId="0" applyNumberFormat="1" applyFont="1" applyFill="1" applyProtection="1">
      <protection locked="0"/>
    </xf>
    <xf numFmtId="164" fontId="8" fillId="8" borderId="0" xfId="0" applyNumberFormat="1" applyFont="1" applyFill="1" applyProtection="1">
      <protection locked="0"/>
    </xf>
    <xf numFmtId="164" fontId="8" fillId="8" borderId="0" xfId="0" applyNumberFormat="1" applyFont="1" applyFill="1" applyAlignment="1" applyProtection="1">
      <alignment horizontal="center"/>
      <protection locked="0"/>
    </xf>
    <xf numFmtId="164" fontId="8" fillId="8" borderId="0" xfId="0" applyNumberFormat="1" applyFont="1" applyFill="1" applyAlignment="1">
      <alignment horizontal="center"/>
    </xf>
    <xf numFmtId="10" fontId="7" fillId="8" borderId="0" xfId="0" applyNumberFormat="1" applyFont="1" applyFill="1"/>
    <xf numFmtId="164" fontId="8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/>
    <xf numFmtId="164" fontId="7" fillId="0" borderId="1" xfId="0" applyNumberFormat="1" applyFont="1" applyBorder="1"/>
    <xf numFmtId="164" fontId="8" fillId="8" borderId="0" xfId="0" applyNumberFormat="1" applyFont="1" applyFill="1" applyAlignment="1" applyProtection="1">
      <alignment horizontal="right"/>
      <protection locked="0"/>
    </xf>
    <xf numFmtId="164" fontId="8" fillId="0" borderId="31" xfId="0" applyNumberFormat="1" applyFont="1" applyBorder="1" applyProtection="1">
      <protection locked="0"/>
    </xf>
    <xf numFmtId="164" fontId="8" fillId="0" borderId="32" xfId="0" applyNumberFormat="1" applyFont="1" applyBorder="1" applyProtection="1">
      <protection locked="0"/>
    </xf>
    <xf numFmtId="164" fontId="8" fillId="0" borderId="60" xfId="0" applyNumberFormat="1" applyFont="1" applyBorder="1"/>
    <xf numFmtId="164" fontId="7" fillId="0" borderId="61" xfId="0" applyNumberFormat="1" applyFont="1" applyBorder="1" applyAlignment="1">
      <alignment horizontal="right"/>
    </xf>
    <xf numFmtId="164" fontId="7" fillId="0" borderId="62" xfId="0" applyNumberFormat="1" applyFont="1" applyBorder="1" applyAlignment="1">
      <alignment horizontal="right"/>
    </xf>
    <xf numFmtId="164" fontId="8" fillId="3" borderId="58" xfId="0" applyNumberFormat="1" applyFont="1" applyFill="1" applyBorder="1" applyAlignment="1">
      <alignment horizontal="right"/>
    </xf>
    <xf numFmtId="164" fontId="30" fillId="0" borderId="1" xfId="0" applyNumberFormat="1" applyFont="1" applyBorder="1" applyProtection="1">
      <protection locked="0"/>
    </xf>
    <xf numFmtId="164" fontId="30" fillId="0" borderId="0" xfId="0" applyNumberFormat="1" applyFont="1" applyProtection="1">
      <protection locked="0"/>
    </xf>
    <xf numFmtId="164" fontId="8" fillId="5" borderId="49" xfId="0" applyNumberFormat="1" applyFont="1" applyFill="1" applyBorder="1" applyAlignment="1" applyProtection="1">
      <alignment horizontal="right"/>
      <protection locked="0"/>
    </xf>
    <xf numFmtId="164" fontId="7" fillId="5" borderId="49" xfId="0" applyNumberFormat="1" applyFont="1" applyFill="1" applyBorder="1" applyAlignment="1" applyProtection="1">
      <alignment horizontal="right"/>
      <protection locked="0"/>
    </xf>
    <xf numFmtId="164" fontId="8" fillId="13" borderId="1" xfId="0" applyNumberFormat="1" applyFont="1" applyFill="1" applyBorder="1" applyAlignment="1" applyProtection="1">
      <alignment horizontal="center"/>
      <protection locked="0"/>
    </xf>
    <xf numFmtId="164" fontId="8" fillId="13" borderId="1" xfId="0" applyNumberFormat="1" applyFont="1" applyFill="1" applyBorder="1" applyAlignment="1" applyProtection="1">
      <alignment horizontal="right"/>
      <protection locked="0"/>
    </xf>
    <xf numFmtId="49" fontId="7" fillId="0" borderId="1" xfId="0" applyNumberFormat="1" applyFont="1" applyBorder="1" applyAlignment="1">
      <alignment horizontal="left" indent="2"/>
    </xf>
    <xf numFmtId="49" fontId="7" fillId="0" borderId="1" xfId="0" applyNumberFormat="1" applyFont="1" applyBorder="1" applyAlignment="1">
      <alignment horizontal="left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164" fontId="8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12" borderId="1" xfId="0" applyFont="1" applyFill="1" applyBorder="1" applyAlignment="1">
      <alignment horizontal="left"/>
    </xf>
    <xf numFmtId="0" fontId="7" fillId="0" borderId="43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164" fontId="7" fillId="0" borderId="30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27" fillId="0" borderId="59" xfId="0" applyNumberFormat="1" applyFont="1" applyBorder="1" applyAlignment="1">
      <alignment horizontal="center" vertical="center"/>
    </xf>
    <xf numFmtId="164" fontId="27" fillId="0" borderId="64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5"/>
  <sheetViews>
    <sheetView showGridLines="0" topLeftCell="G1" zoomScale="64" zoomScaleNormal="64" zoomScaleSheetLayoutView="80" workbookViewId="0">
      <selection activeCell="Y61" sqref="Y6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3.140625" bestFit="1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3.140625" bestFit="1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1.7109375" bestFit="1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 t="s">
        <v>160</v>
      </c>
      <c r="AC1" s="2"/>
    </row>
    <row r="2" spans="1:30" ht="21" x14ac:dyDescent="0.35">
      <c r="A2" s="2"/>
      <c r="B2" s="4" t="s">
        <v>111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339" t="s">
        <v>148</v>
      </c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56">
        <v>46789766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340" t="s">
        <v>149</v>
      </c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319" t="s">
        <v>37</v>
      </c>
      <c r="C10" s="344" t="s">
        <v>38</v>
      </c>
      <c r="D10" s="346" t="s">
        <v>112</v>
      </c>
      <c r="E10" s="347"/>
      <c r="F10" s="347"/>
      <c r="G10" s="347"/>
      <c r="H10" s="347"/>
      <c r="I10" s="348"/>
      <c r="J10" s="294" t="s">
        <v>119</v>
      </c>
      <c r="K10" s="295"/>
      <c r="L10" s="295"/>
      <c r="M10" s="295"/>
      <c r="N10" s="295"/>
      <c r="O10" s="296"/>
      <c r="P10" s="294" t="s">
        <v>113</v>
      </c>
      <c r="Q10" s="295"/>
      <c r="R10" s="295"/>
      <c r="S10" s="295"/>
      <c r="T10" s="295"/>
      <c r="U10" s="296"/>
      <c r="V10" s="346" t="s">
        <v>159</v>
      </c>
      <c r="W10" s="347"/>
      <c r="X10" s="347"/>
      <c r="Y10" s="347"/>
      <c r="Z10" s="347"/>
      <c r="AA10" s="348"/>
      <c r="AB10" s="369" t="s">
        <v>109</v>
      </c>
      <c r="AC10" s="2"/>
      <c r="AD10" s="2"/>
    </row>
    <row r="11" spans="1:30" ht="30.75" customHeight="1" thickBot="1" x14ac:dyDescent="0.3">
      <c r="A11" s="2"/>
      <c r="B11" s="320"/>
      <c r="C11" s="345"/>
      <c r="D11" s="297" t="s">
        <v>39</v>
      </c>
      <c r="E11" s="298"/>
      <c r="F11" s="298"/>
      <c r="G11" s="299"/>
      <c r="H11" s="6" t="s">
        <v>40</v>
      </c>
      <c r="I11" s="6" t="s">
        <v>61</v>
      </c>
      <c r="J11" s="297" t="s">
        <v>39</v>
      </c>
      <c r="K11" s="298"/>
      <c r="L11" s="298"/>
      <c r="M11" s="299"/>
      <c r="N11" s="6" t="s">
        <v>40</v>
      </c>
      <c r="O11" s="6" t="s">
        <v>61</v>
      </c>
      <c r="P11" s="297" t="s">
        <v>39</v>
      </c>
      <c r="Q11" s="298"/>
      <c r="R11" s="298"/>
      <c r="S11" s="299"/>
      <c r="T11" s="6" t="s">
        <v>40</v>
      </c>
      <c r="U11" s="6" t="s">
        <v>61</v>
      </c>
      <c r="V11" s="297" t="s">
        <v>39</v>
      </c>
      <c r="W11" s="298"/>
      <c r="X11" s="298"/>
      <c r="Y11" s="299"/>
      <c r="Z11" s="6" t="s">
        <v>40</v>
      </c>
      <c r="AA11" s="6" t="s">
        <v>61</v>
      </c>
      <c r="AB11" s="370"/>
      <c r="AC11" s="2"/>
      <c r="AD11" s="2"/>
    </row>
    <row r="12" spans="1:30" ht="15.75" customHeight="1" thickBot="1" x14ac:dyDescent="0.3">
      <c r="A12" s="2"/>
      <c r="B12" s="320"/>
      <c r="C12" s="349"/>
      <c r="D12" s="300" t="s">
        <v>62</v>
      </c>
      <c r="E12" s="301"/>
      <c r="F12" s="301"/>
      <c r="G12" s="301"/>
      <c r="H12" s="301"/>
      <c r="I12" s="302"/>
      <c r="J12" s="300" t="s">
        <v>62</v>
      </c>
      <c r="K12" s="301"/>
      <c r="L12" s="301"/>
      <c r="M12" s="301"/>
      <c r="N12" s="301"/>
      <c r="O12" s="302"/>
      <c r="P12" s="300" t="s">
        <v>62</v>
      </c>
      <c r="Q12" s="301"/>
      <c r="R12" s="301"/>
      <c r="S12" s="301"/>
      <c r="T12" s="301"/>
      <c r="U12" s="302"/>
      <c r="V12" s="300" t="s">
        <v>62</v>
      </c>
      <c r="W12" s="301"/>
      <c r="X12" s="301"/>
      <c r="Y12" s="301"/>
      <c r="Z12" s="301"/>
      <c r="AA12" s="302"/>
      <c r="AB12" s="370"/>
      <c r="AC12" s="2"/>
      <c r="AD12" s="2"/>
    </row>
    <row r="13" spans="1:30" ht="15.75" customHeight="1" thickBot="1" x14ac:dyDescent="0.3">
      <c r="A13" s="2"/>
      <c r="B13" s="321"/>
      <c r="C13" s="350"/>
      <c r="D13" s="303" t="s">
        <v>57</v>
      </c>
      <c r="E13" s="304"/>
      <c r="F13" s="304"/>
      <c r="G13" s="305" t="s">
        <v>63</v>
      </c>
      <c r="H13" s="307" t="s">
        <v>66</v>
      </c>
      <c r="I13" s="309" t="s">
        <v>62</v>
      </c>
      <c r="J13" s="303" t="s">
        <v>57</v>
      </c>
      <c r="K13" s="304"/>
      <c r="L13" s="304"/>
      <c r="M13" s="305" t="s">
        <v>63</v>
      </c>
      <c r="N13" s="307" t="s">
        <v>66</v>
      </c>
      <c r="O13" s="309" t="s">
        <v>62</v>
      </c>
      <c r="P13" s="303" t="s">
        <v>57</v>
      </c>
      <c r="Q13" s="304"/>
      <c r="R13" s="304"/>
      <c r="S13" s="305" t="s">
        <v>63</v>
      </c>
      <c r="T13" s="307" t="s">
        <v>66</v>
      </c>
      <c r="U13" s="309" t="s">
        <v>62</v>
      </c>
      <c r="V13" s="303" t="s">
        <v>57</v>
      </c>
      <c r="W13" s="304"/>
      <c r="X13" s="304"/>
      <c r="Y13" s="305" t="s">
        <v>63</v>
      </c>
      <c r="Z13" s="307" t="s">
        <v>66</v>
      </c>
      <c r="AA13" s="309" t="s">
        <v>62</v>
      </c>
      <c r="AB13" s="370"/>
      <c r="AC13" s="2"/>
      <c r="AD13" s="2"/>
    </row>
    <row r="14" spans="1:30" ht="15.75" thickBot="1" x14ac:dyDescent="0.3">
      <c r="A14" s="2"/>
      <c r="B14" s="7"/>
      <c r="C14" s="8"/>
      <c r="D14" s="102" t="s">
        <v>58</v>
      </c>
      <c r="E14" s="103" t="s">
        <v>90</v>
      </c>
      <c r="F14" s="103" t="s">
        <v>59</v>
      </c>
      <c r="G14" s="306"/>
      <c r="H14" s="308"/>
      <c r="I14" s="310"/>
      <c r="J14" s="102" t="s">
        <v>58</v>
      </c>
      <c r="K14" s="103" t="s">
        <v>90</v>
      </c>
      <c r="L14" s="103" t="s">
        <v>59</v>
      </c>
      <c r="M14" s="306"/>
      <c r="N14" s="308"/>
      <c r="O14" s="310"/>
      <c r="P14" s="102" t="s">
        <v>58</v>
      </c>
      <c r="Q14" s="103" t="s">
        <v>90</v>
      </c>
      <c r="R14" s="103" t="s">
        <v>59</v>
      </c>
      <c r="S14" s="306"/>
      <c r="T14" s="308"/>
      <c r="U14" s="310"/>
      <c r="V14" s="102" t="s">
        <v>58</v>
      </c>
      <c r="W14" s="103" t="s">
        <v>90</v>
      </c>
      <c r="X14" s="103" t="s">
        <v>59</v>
      </c>
      <c r="Y14" s="306"/>
      <c r="Z14" s="308"/>
      <c r="AA14" s="310"/>
      <c r="AB14" s="371"/>
      <c r="AC14" s="2"/>
      <c r="AD14" s="2"/>
    </row>
    <row r="15" spans="1:30" x14ac:dyDescent="0.25">
      <c r="A15" s="2"/>
      <c r="B15" s="29" t="s">
        <v>0</v>
      </c>
      <c r="C15" s="30" t="s">
        <v>52</v>
      </c>
      <c r="D15" s="9"/>
      <c r="E15" s="10"/>
      <c r="F15" s="209">
        <f>2137.4+12.5</f>
        <v>2149.9</v>
      </c>
      <c r="G15" s="210">
        <f>SUM(D15:F15)</f>
        <v>2149.9</v>
      </c>
      <c r="H15" s="227">
        <v>504.7</v>
      </c>
      <c r="I15" s="11">
        <f>G15+H15</f>
        <v>2654.6</v>
      </c>
      <c r="J15" s="147"/>
      <c r="K15" s="148"/>
      <c r="L15" s="149">
        <v>2496</v>
      </c>
      <c r="M15" s="150">
        <f t="shared" ref="M15:M24" si="0">SUM(J15:L15)</f>
        <v>2496</v>
      </c>
      <c r="N15" s="151">
        <v>450</v>
      </c>
      <c r="O15" s="152">
        <f>M15+N15</f>
        <v>2946</v>
      </c>
      <c r="P15" s="205"/>
      <c r="Q15" s="206"/>
      <c r="R15" s="209">
        <f>1143.7+14.8</f>
        <v>1158.5</v>
      </c>
      <c r="S15" s="210">
        <f>SUM(P15:R15)</f>
        <v>1158.5</v>
      </c>
      <c r="T15" s="227">
        <f>286.9</f>
        <v>286.89999999999998</v>
      </c>
      <c r="U15" s="218">
        <f>S15+T15</f>
        <v>1445.4</v>
      </c>
      <c r="V15" s="9"/>
      <c r="W15" s="10"/>
      <c r="X15" s="209">
        <v>2150</v>
      </c>
      <c r="Y15" s="50">
        <f>SUM(V15:X15)</f>
        <v>2150</v>
      </c>
      <c r="Z15" s="52">
        <v>445</v>
      </c>
      <c r="AA15" s="11">
        <f>Y15+Z15</f>
        <v>2595</v>
      </c>
      <c r="AB15" s="106">
        <f>(AA15/O15)</f>
        <v>0.88085539714867622</v>
      </c>
      <c r="AC15" s="2"/>
      <c r="AD15" s="2"/>
    </row>
    <row r="16" spans="1:30" x14ac:dyDescent="0.25">
      <c r="A16" s="2"/>
      <c r="B16" s="12" t="s">
        <v>1</v>
      </c>
      <c r="C16" s="89" t="s">
        <v>124</v>
      </c>
      <c r="D16" s="47">
        <v>6783.2</v>
      </c>
      <c r="E16" s="13"/>
      <c r="F16" s="211"/>
      <c r="G16" s="212">
        <f t="shared" ref="G16:G24" si="1">SUM(D16:F16)</f>
        <v>6783.2</v>
      </c>
      <c r="H16" s="228"/>
      <c r="I16" s="11">
        <f t="shared" ref="I16:I24" si="2">G16+H16</f>
        <v>6783.2</v>
      </c>
      <c r="J16" s="203">
        <v>7000</v>
      </c>
      <c r="K16" s="153"/>
      <c r="L16" s="153"/>
      <c r="M16" s="154">
        <f t="shared" si="0"/>
        <v>7000</v>
      </c>
      <c r="N16" s="155"/>
      <c r="O16" s="152">
        <f t="shared" ref="O16:O21" si="3">M16+N16</f>
        <v>7000</v>
      </c>
      <c r="P16" s="47">
        <v>3740</v>
      </c>
      <c r="Q16" s="207"/>
      <c r="R16" s="211"/>
      <c r="S16" s="212">
        <f t="shared" ref="S16:S24" si="4">SUM(P16:R16)</f>
        <v>3740</v>
      </c>
      <c r="T16" s="228"/>
      <c r="U16" s="218">
        <f t="shared" ref="U16:U21" si="5">S16+T16</f>
        <v>3740</v>
      </c>
      <c r="V16" s="47">
        <f>7094+40+100</f>
        <v>7234</v>
      </c>
      <c r="W16" s="13"/>
      <c r="X16" s="211"/>
      <c r="Y16" s="51">
        <f t="shared" ref="Y16:Y24" si="6">SUM(V16:X16)</f>
        <v>7234</v>
      </c>
      <c r="Z16" s="53"/>
      <c r="AA16" s="11">
        <f t="shared" ref="AA16:AA21" si="7">Y16+Z16</f>
        <v>7234</v>
      </c>
      <c r="AB16" s="106">
        <f t="shared" ref="AB16:AB25" si="8">(AA16/O16)</f>
        <v>1.0334285714285714</v>
      </c>
      <c r="AC16" s="2"/>
      <c r="AD16" s="2"/>
    </row>
    <row r="17" spans="1:30" x14ac:dyDescent="0.25">
      <c r="A17" s="2"/>
      <c r="B17" s="12" t="s">
        <v>3</v>
      </c>
      <c r="C17" s="90" t="s">
        <v>123</v>
      </c>
      <c r="D17" s="48">
        <f>177.1+217.8+42+44</f>
        <v>480.9</v>
      </c>
      <c r="E17" s="14"/>
      <c r="F17" s="211"/>
      <c r="G17" s="212">
        <f t="shared" si="1"/>
        <v>480.9</v>
      </c>
      <c r="H17" s="229"/>
      <c r="I17" s="11">
        <f t="shared" si="2"/>
        <v>480.9</v>
      </c>
      <c r="J17" s="204">
        <v>396.7</v>
      </c>
      <c r="K17" s="156"/>
      <c r="L17" s="156"/>
      <c r="M17" s="154">
        <f t="shared" si="0"/>
        <v>396.7</v>
      </c>
      <c r="N17" s="157"/>
      <c r="O17" s="152">
        <f t="shared" si="3"/>
        <v>396.7</v>
      </c>
      <c r="P17" s="48">
        <f>179.7+217</f>
        <v>396.7</v>
      </c>
      <c r="Q17" s="207"/>
      <c r="R17" s="211"/>
      <c r="S17" s="212">
        <f t="shared" si="4"/>
        <v>396.7</v>
      </c>
      <c r="T17" s="229"/>
      <c r="U17" s="218">
        <f t="shared" si="5"/>
        <v>396.7</v>
      </c>
      <c r="V17" s="286">
        <f>175.6+50</f>
        <v>225.6</v>
      </c>
      <c r="W17" s="211"/>
      <c r="X17" s="211"/>
      <c r="Y17" s="212">
        <f t="shared" si="6"/>
        <v>225.6</v>
      </c>
      <c r="Z17" s="229"/>
      <c r="AA17" s="218">
        <f t="shared" si="7"/>
        <v>225.6</v>
      </c>
      <c r="AB17" s="106">
        <f t="shared" si="8"/>
        <v>0.56869170657927903</v>
      </c>
      <c r="AC17" s="2"/>
      <c r="AD17" s="2"/>
    </row>
    <row r="18" spans="1:30" x14ac:dyDescent="0.25">
      <c r="A18" s="2"/>
      <c r="B18" s="12" t="s">
        <v>121</v>
      </c>
      <c r="C18" s="197" t="s">
        <v>122</v>
      </c>
      <c r="D18" s="48">
        <v>0</v>
      </c>
      <c r="E18" s="14"/>
      <c r="F18" s="211"/>
      <c r="G18" s="212">
        <f t="shared" si="1"/>
        <v>0</v>
      </c>
      <c r="H18" s="228"/>
      <c r="I18" s="11">
        <f t="shared" si="2"/>
        <v>0</v>
      </c>
      <c r="J18" s="204">
        <v>0</v>
      </c>
      <c r="K18" s="156"/>
      <c r="L18" s="156"/>
      <c r="M18" s="154">
        <f t="shared" si="0"/>
        <v>0</v>
      </c>
      <c r="N18" s="155"/>
      <c r="O18" s="152">
        <f t="shared" si="3"/>
        <v>0</v>
      </c>
      <c r="P18" s="48">
        <v>0</v>
      </c>
      <c r="Q18" s="207"/>
      <c r="R18" s="211"/>
      <c r="S18" s="212">
        <f t="shared" si="4"/>
        <v>0</v>
      </c>
      <c r="T18" s="228"/>
      <c r="U18" s="218">
        <f t="shared" si="5"/>
        <v>0</v>
      </c>
      <c r="V18" s="285">
        <f>9246.4</f>
        <v>9246.4</v>
      </c>
      <c r="W18" s="211"/>
      <c r="X18" s="211"/>
      <c r="Y18" s="212">
        <f t="shared" si="6"/>
        <v>9246.4</v>
      </c>
      <c r="Z18" s="228"/>
      <c r="AA18" s="218">
        <f t="shared" si="7"/>
        <v>9246.4</v>
      </c>
      <c r="AB18" s="106"/>
      <c r="AC18" s="2"/>
      <c r="AD18" s="2"/>
    </row>
    <row r="19" spans="1:30" x14ac:dyDescent="0.25">
      <c r="A19" s="2"/>
      <c r="B19" s="12" t="s">
        <v>5</v>
      </c>
      <c r="C19" s="91" t="s">
        <v>53</v>
      </c>
      <c r="D19" s="15"/>
      <c r="E19" s="49">
        <f>44963.1+75.5+3757.3+766.8</f>
        <v>49562.700000000004</v>
      </c>
      <c r="F19" s="211"/>
      <c r="G19" s="212">
        <f t="shared" si="1"/>
        <v>49562.700000000004</v>
      </c>
      <c r="H19" s="227"/>
      <c r="I19" s="11">
        <f t="shared" si="2"/>
        <v>49562.700000000004</v>
      </c>
      <c r="J19" s="158"/>
      <c r="K19" s="159">
        <v>48932.6</v>
      </c>
      <c r="L19" s="156"/>
      <c r="M19" s="154">
        <f t="shared" si="0"/>
        <v>48932.6</v>
      </c>
      <c r="N19" s="151"/>
      <c r="O19" s="152">
        <f t="shared" si="3"/>
        <v>48932.6</v>
      </c>
      <c r="P19" s="208"/>
      <c r="Q19" s="49">
        <f>3460.1+22230+397.3+29.8</f>
        <v>26117.199999999997</v>
      </c>
      <c r="R19" s="211"/>
      <c r="S19" s="212">
        <f t="shared" si="4"/>
        <v>26117.199999999997</v>
      </c>
      <c r="T19" s="227"/>
      <c r="U19" s="218">
        <f t="shared" si="5"/>
        <v>26117.199999999997</v>
      </c>
      <c r="V19" s="216"/>
      <c r="W19" s="213">
        <f>40023.2+(1385.1)+666.9</f>
        <v>42075.199999999997</v>
      </c>
      <c r="X19" s="211"/>
      <c r="Y19" s="212">
        <f t="shared" si="6"/>
        <v>42075.199999999997</v>
      </c>
      <c r="Z19" s="227"/>
      <c r="AA19" s="218">
        <f t="shared" si="7"/>
        <v>42075.199999999997</v>
      </c>
      <c r="AB19" s="106">
        <f t="shared" si="8"/>
        <v>0.85986029763388816</v>
      </c>
      <c r="AC19" s="2"/>
      <c r="AD19" s="2"/>
    </row>
    <row r="20" spans="1:30" x14ac:dyDescent="0.25">
      <c r="A20" s="2"/>
      <c r="B20" s="12" t="s">
        <v>7</v>
      </c>
      <c r="C20" s="32" t="s">
        <v>46</v>
      </c>
      <c r="D20" s="16"/>
      <c r="E20" s="14"/>
      <c r="F20" s="213">
        <v>1001</v>
      </c>
      <c r="G20" s="212">
        <f>SUM(D20:F20)</f>
        <v>1001</v>
      </c>
      <c r="H20" s="227"/>
      <c r="I20" s="11">
        <f t="shared" si="2"/>
        <v>1001</v>
      </c>
      <c r="J20" s="160"/>
      <c r="K20" s="156"/>
      <c r="L20" s="159">
        <v>1030</v>
      </c>
      <c r="M20" s="154">
        <f t="shared" si="0"/>
        <v>1030</v>
      </c>
      <c r="N20" s="151"/>
      <c r="O20" s="152">
        <f t="shared" si="3"/>
        <v>1030</v>
      </c>
      <c r="P20" s="208"/>
      <c r="Q20" s="207"/>
      <c r="R20" s="213">
        <v>345.3</v>
      </c>
      <c r="S20" s="212">
        <f t="shared" si="4"/>
        <v>345.3</v>
      </c>
      <c r="T20" s="227"/>
      <c r="U20" s="218">
        <f t="shared" si="5"/>
        <v>345.3</v>
      </c>
      <c r="V20" s="216"/>
      <c r="W20" s="211"/>
      <c r="X20" s="213">
        <v>800</v>
      </c>
      <c r="Y20" s="212">
        <f t="shared" si="6"/>
        <v>800</v>
      </c>
      <c r="Z20" s="227"/>
      <c r="AA20" s="218">
        <f t="shared" si="7"/>
        <v>800</v>
      </c>
      <c r="AB20" s="106">
        <f t="shared" si="8"/>
        <v>0.77669902912621358</v>
      </c>
      <c r="AC20" s="2"/>
      <c r="AD20" s="2"/>
    </row>
    <row r="21" spans="1:30" x14ac:dyDescent="0.25">
      <c r="A21" s="2"/>
      <c r="B21" s="12" t="s">
        <v>9</v>
      </c>
      <c r="C21" s="92" t="s">
        <v>47</v>
      </c>
      <c r="D21" s="15"/>
      <c r="E21" s="13"/>
      <c r="F21" s="213">
        <v>232.6</v>
      </c>
      <c r="G21" s="212">
        <f t="shared" ref="G21:G22" si="9">SUM(D21:F21)</f>
        <v>232.6</v>
      </c>
      <c r="H21" s="227"/>
      <c r="I21" s="11">
        <f>G21+H21</f>
        <v>232.6</v>
      </c>
      <c r="J21" s="158"/>
      <c r="K21" s="153">
        <v>445</v>
      </c>
      <c r="L21" s="161">
        <v>75</v>
      </c>
      <c r="M21" s="154">
        <f t="shared" si="0"/>
        <v>520</v>
      </c>
      <c r="N21" s="151"/>
      <c r="O21" s="152">
        <f t="shared" si="3"/>
        <v>520</v>
      </c>
      <c r="P21" s="208"/>
      <c r="Q21" s="207"/>
      <c r="R21" s="213">
        <v>199.9</v>
      </c>
      <c r="S21" s="212">
        <f t="shared" si="4"/>
        <v>199.9</v>
      </c>
      <c r="T21" s="227"/>
      <c r="U21" s="218">
        <f t="shared" si="5"/>
        <v>199.9</v>
      </c>
      <c r="V21" s="216"/>
      <c r="W21" s="211"/>
      <c r="X21" s="213">
        <v>80</v>
      </c>
      <c r="Y21" s="212">
        <f t="shared" si="6"/>
        <v>80</v>
      </c>
      <c r="Z21" s="227">
        <v>211</v>
      </c>
      <c r="AA21" s="218">
        <f t="shared" si="7"/>
        <v>291</v>
      </c>
      <c r="AB21" s="106">
        <f t="shared" si="8"/>
        <v>0.55961538461538463</v>
      </c>
      <c r="AC21" s="2"/>
      <c r="AD21" s="2"/>
    </row>
    <row r="22" spans="1:30" x14ac:dyDescent="0.25">
      <c r="A22" s="2"/>
      <c r="B22" s="12" t="s">
        <v>11</v>
      </c>
      <c r="C22" s="31" t="s">
        <v>2</v>
      </c>
      <c r="D22" s="15"/>
      <c r="E22" s="13"/>
      <c r="F22" s="213">
        <f>562.9+122.7</f>
        <v>685.6</v>
      </c>
      <c r="G22" s="212">
        <f t="shared" si="9"/>
        <v>685.6</v>
      </c>
      <c r="H22" s="217">
        <v>221.3</v>
      </c>
      <c r="I22" s="11">
        <f>G22+H22</f>
        <v>906.90000000000009</v>
      </c>
      <c r="J22" s="158"/>
      <c r="K22" s="153"/>
      <c r="L22" s="161">
        <v>465</v>
      </c>
      <c r="M22" s="154">
        <f t="shared" si="0"/>
        <v>465</v>
      </c>
      <c r="N22" s="162">
        <v>229.6</v>
      </c>
      <c r="O22" s="152">
        <f>M22+N22</f>
        <v>694.6</v>
      </c>
      <c r="P22" s="216"/>
      <c r="Q22" s="211"/>
      <c r="R22" s="213">
        <f>166.2+201.3</f>
        <v>367.5</v>
      </c>
      <c r="S22" s="212">
        <f t="shared" si="4"/>
        <v>367.5</v>
      </c>
      <c r="T22" s="217">
        <v>100.8</v>
      </c>
      <c r="U22" s="218">
        <f>S22+T22</f>
        <v>468.3</v>
      </c>
      <c r="V22" s="216"/>
      <c r="W22" s="211"/>
      <c r="X22" s="213">
        <v>583</v>
      </c>
      <c r="Y22" s="212">
        <f t="shared" si="6"/>
        <v>583</v>
      </c>
      <c r="Z22" s="217">
        <v>211</v>
      </c>
      <c r="AA22" s="218">
        <f>Y22+Z22</f>
        <v>794</v>
      </c>
      <c r="AB22" s="106">
        <f t="shared" si="8"/>
        <v>1.1431039447163835</v>
      </c>
      <c r="AC22" s="2"/>
      <c r="AD22" s="2"/>
    </row>
    <row r="23" spans="1:30" x14ac:dyDescent="0.25">
      <c r="A23" s="2"/>
      <c r="B23" s="12" t="s">
        <v>13</v>
      </c>
      <c r="C23" s="31" t="s">
        <v>4</v>
      </c>
      <c r="D23" s="15"/>
      <c r="E23" s="13"/>
      <c r="F23" s="213">
        <v>0</v>
      </c>
      <c r="G23" s="212">
        <f t="shared" si="1"/>
        <v>0</v>
      </c>
      <c r="H23" s="217">
        <v>221.3</v>
      </c>
      <c r="I23" s="11">
        <f t="shared" si="2"/>
        <v>221.3</v>
      </c>
      <c r="J23" s="158"/>
      <c r="K23" s="153"/>
      <c r="L23" s="161"/>
      <c r="M23" s="154">
        <f t="shared" si="0"/>
        <v>0</v>
      </c>
      <c r="N23" s="162">
        <v>229.6</v>
      </c>
      <c r="O23" s="152">
        <f t="shared" ref="O23:O24" si="10">M23+N23</f>
        <v>229.6</v>
      </c>
      <c r="P23" s="216"/>
      <c r="Q23" s="211"/>
      <c r="R23" s="213"/>
      <c r="S23" s="212">
        <f t="shared" si="4"/>
        <v>0</v>
      </c>
      <c r="T23" s="217">
        <v>100.8</v>
      </c>
      <c r="U23" s="218">
        <f t="shared" ref="U23:U24" si="11">S23+T23</f>
        <v>100.8</v>
      </c>
      <c r="V23" s="216"/>
      <c r="W23" s="211"/>
      <c r="X23" s="213"/>
      <c r="Y23" s="212">
        <f t="shared" si="6"/>
        <v>0</v>
      </c>
      <c r="Z23" s="217"/>
      <c r="AA23" s="218">
        <f t="shared" ref="AA23:AA24" si="12">Y23+Z23</f>
        <v>0</v>
      </c>
      <c r="AB23" s="106">
        <f t="shared" si="8"/>
        <v>0</v>
      </c>
      <c r="AC23" s="2"/>
      <c r="AD23" s="2"/>
    </row>
    <row r="24" spans="1:30" ht="15.75" thickBot="1" x14ac:dyDescent="0.3">
      <c r="A24" s="2"/>
      <c r="B24" s="93" t="s">
        <v>15</v>
      </c>
      <c r="C24" s="94" t="s">
        <v>6</v>
      </c>
      <c r="D24" s="18"/>
      <c r="E24" s="19"/>
      <c r="F24" s="214">
        <v>0</v>
      </c>
      <c r="G24" s="215">
        <f t="shared" si="1"/>
        <v>0</v>
      </c>
      <c r="H24" s="221"/>
      <c r="I24" s="20">
        <f t="shared" si="2"/>
        <v>0</v>
      </c>
      <c r="J24" s="163"/>
      <c r="K24" s="164"/>
      <c r="L24" s="165"/>
      <c r="M24" s="166">
        <f t="shared" si="0"/>
        <v>0</v>
      </c>
      <c r="N24" s="167"/>
      <c r="O24" s="168">
        <f t="shared" si="10"/>
        <v>0</v>
      </c>
      <c r="P24" s="219"/>
      <c r="Q24" s="220"/>
      <c r="R24" s="214"/>
      <c r="S24" s="215">
        <f t="shared" si="4"/>
        <v>0</v>
      </c>
      <c r="T24" s="221"/>
      <c r="U24" s="222">
        <f t="shared" si="11"/>
        <v>0</v>
      </c>
      <c r="V24" s="219"/>
      <c r="W24" s="220"/>
      <c r="X24" s="214"/>
      <c r="Y24" s="215">
        <f t="shared" si="6"/>
        <v>0</v>
      </c>
      <c r="Z24" s="221"/>
      <c r="AA24" s="222">
        <f t="shared" si="12"/>
        <v>0</v>
      </c>
      <c r="AB24" s="109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23">
        <f>SUM(D15:D22)</f>
        <v>7264.0999999999995</v>
      </c>
      <c r="E25" s="224">
        <f>SUM(E15:E22)</f>
        <v>49562.700000000004</v>
      </c>
      <c r="F25" s="224">
        <f>SUM(F15:F22)</f>
        <v>4069.1</v>
      </c>
      <c r="G25" s="225">
        <f>SUM(D25:F25)</f>
        <v>60895.9</v>
      </c>
      <c r="H25" s="226">
        <f>SUM(H15:H22)</f>
        <v>726</v>
      </c>
      <c r="I25" s="226">
        <f>SUM(I15:I22)</f>
        <v>61621.9</v>
      </c>
      <c r="J25" s="169">
        <f>SUM(J15:J22)</f>
        <v>7396.7</v>
      </c>
      <c r="K25" s="170">
        <f>SUM(K15:K22)</f>
        <v>49377.599999999999</v>
      </c>
      <c r="L25" s="170">
        <f>SUM(L15:L22)</f>
        <v>4066</v>
      </c>
      <c r="M25" s="171">
        <f>SUM(J25:L25)</f>
        <v>60840.299999999996</v>
      </c>
      <c r="N25" s="172">
        <f>SUM(N15:N22)</f>
        <v>679.6</v>
      </c>
      <c r="O25" s="172">
        <f>SUM(O15:O22)</f>
        <v>61519.9</v>
      </c>
      <c r="P25" s="223">
        <f>SUM(P15:P22)</f>
        <v>4136.7</v>
      </c>
      <c r="Q25" s="224">
        <f>SUM(Q15:Q22)</f>
        <v>26117.199999999997</v>
      </c>
      <c r="R25" s="224">
        <f>SUM(R15:R22)</f>
        <v>2071.1999999999998</v>
      </c>
      <c r="S25" s="225">
        <f>SUM(P25:R25)</f>
        <v>32325.1</v>
      </c>
      <c r="T25" s="226">
        <f>SUM(T15:T22)</f>
        <v>387.7</v>
      </c>
      <c r="U25" s="226">
        <f>SUM(U15:U22)</f>
        <v>32712.799999999996</v>
      </c>
      <c r="V25" s="223">
        <f>SUM(V15:V22)</f>
        <v>16706</v>
      </c>
      <c r="W25" s="224">
        <f>SUM(W15:W22)</f>
        <v>42075.199999999997</v>
      </c>
      <c r="X25" s="224">
        <f>SUM(X15:X22)</f>
        <v>3613</v>
      </c>
      <c r="Y25" s="225">
        <f>SUM(V25:X25)</f>
        <v>62394.2</v>
      </c>
      <c r="Z25" s="226">
        <f>SUM(Z15:Z22)</f>
        <v>867</v>
      </c>
      <c r="AA25" s="226">
        <f>SUM(AA15:AA22)</f>
        <v>63261.2</v>
      </c>
      <c r="AB25" s="110">
        <f t="shared" si="8"/>
        <v>1.0283046623937944</v>
      </c>
      <c r="AC25" s="2"/>
      <c r="AD25" s="2"/>
    </row>
    <row r="26" spans="1:30" ht="15.75" customHeight="1" thickBot="1" x14ac:dyDescent="0.3">
      <c r="A26" s="2"/>
      <c r="B26" s="24"/>
      <c r="C26" s="25"/>
      <c r="D26" s="311" t="s">
        <v>68</v>
      </c>
      <c r="E26" s="312"/>
      <c r="F26" s="312"/>
      <c r="G26" s="313"/>
      <c r="H26" s="313"/>
      <c r="I26" s="314"/>
      <c r="J26" s="325" t="s">
        <v>68</v>
      </c>
      <c r="K26" s="326"/>
      <c r="L26" s="326"/>
      <c r="M26" s="327"/>
      <c r="N26" s="327"/>
      <c r="O26" s="328"/>
      <c r="P26" s="311" t="s">
        <v>68</v>
      </c>
      <c r="Q26" s="312"/>
      <c r="R26" s="312"/>
      <c r="S26" s="313"/>
      <c r="T26" s="313"/>
      <c r="U26" s="314"/>
      <c r="V26" s="311" t="s">
        <v>68</v>
      </c>
      <c r="W26" s="312"/>
      <c r="X26" s="312"/>
      <c r="Y26" s="313"/>
      <c r="Z26" s="313"/>
      <c r="AA26" s="314"/>
      <c r="AB26" s="356" t="s">
        <v>109</v>
      </c>
      <c r="AC26" s="2"/>
      <c r="AD26" s="2"/>
    </row>
    <row r="27" spans="1:30" ht="15.75" thickBot="1" x14ac:dyDescent="0.3">
      <c r="A27" s="2"/>
      <c r="B27" s="323" t="s">
        <v>37</v>
      </c>
      <c r="C27" s="344" t="s">
        <v>38</v>
      </c>
      <c r="D27" s="315" t="s">
        <v>151</v>
      </c>
      <c r="E27" s="316"/>
      <c r="F27" s="316"/>
      <c r="G27" s="317" t="s">
        <v>64</v>
      </c>
      <c r="H27" s="351" t="s">
        <v>67</v>
      </c>
      <c r="I27" s="353" t="s">
        <v>68</v>
      </c>
      <c r="J27" s="329" t="s">
        <v>69</v>
      </c>
      <c r="K27" s="330"/>
      <c r="L27" s="330"/>
      <c r="M27" s="331" t="s">
        <v>64</v>
      </c>
      <c r="N27" s="333" t="s">
        <v>67</v>
      </c>
      <c r="O27" s="335" t="s">
        <v>68</v>
      </c>
      <c r="P27" s="359" t="s">
        <v>69</v>
      </c>
      <c r="Q27" s="360"/>
      <c r="R27" s="360"/>
      <c r="S27" s="305" t="s">
        <v>64</v>
      </c>
      <c r="T27" s="361" t="s">
        <v>67</v>
      </c>
      <c r="U27" s="372" t="s">
        <v>68</v>
      </c>
      <c r="V27" s="315" t="s">
        <v>151</v>
      </c>
      <c r="W27" s="316"/>
      <c r="X27" s="316"/>
      <c r="Y27" s="317" t="s">
        <v>64</v>
      </c>
      <c r="Z27" s="351" t="s">
        <v>67</v>
      </c>
      <c r="AA27" s="353" t="s">
        <v>68</v>
      </c>
      <c r="AB27" s="357"/>
      <c r="AC27" s="2"/>
      <c r="AD27" s="2"/>
    </row>
    <row r="28" spans="1:30" ht="15.75" thickBot="1" x14ac:dyDescent="0.3">
      <c r="A28" s="2"/>
      <c r="B28" s="324"/>
      <c r="C28" s="345"/>
      <c r="D28" s="247" t="s">
        <v>54</v>
      </c>
      <c r="E28" s="248" t="s">
        <v>55</v>
      </c>
      <c r="F28" s="249" t="s">
        <v>56</v>
      </c>
      <c r="G28" s="318"/>
      <c r="H28" s="352"/>
      <c r="I28" s="354"/>
      <c r="J28" s="173" t="s">
        <v>54</v>
      </c>
      <c r="K28" s="174" t="s">
        <v>55</v>
      </c>
      <c r="L28" s="175" t="s">
        <v>56</v>
      </c>
      <c r="M28" s="332"/>
      <c r="N28" s="334"/>
      <c r="O28" s="336"/>
      <c r="P28" s="26" t="s">
        <v>54</v>
      </c>
      <c r="Q28" s="27" t="s">
        <v>55</v>
      </c>
      <c r="R28" s="28" t="s">
        <v>56</v>
      </c>
      <c r="S28" s="306"/>
      <c r="T28" s="362"/>
      <c r="U28" s="373"/>
      <c r="V28" s="247" t="s">
        <v>54</v>
      </c>
      <c r="W28" s="248" t="s">
        <v>55</v>
      </c>
      <c r="X28" s="249" t="s">
        <v>56</v>
      </c>
      <c r="Y28" s="318"/>
      <c r="Z28" s="352"/>
      <c r="AA28" s="354"/>
      <c r="AB28" s="358"/>
      <c r="AC28" s="2"/>
      <c r="AD28" s="2"/>
    </row>
    <row r="29" spans="1:30" x14ac:dyDescent="0.25">
      <c r="A29" s="2"/>
      <c r="B29" s="29" t="s">
        <v>19</v>
      </c>
      <c r="C29" s="30" t="s">
        <v>10</v>
      </c>
      <c r="D29" s="230">
        <v>469.6</v>
      </c>
      <c r="E29" s="230">
        <v>0</v>
      </c>
      <c r="F29" s="230">
        <v>0</v>
      </c>
      <c r="G29" s="231">
        <f>SUM(D29:F29)</f>
        <v>469.6</v>
      </c>
      <c r="H29" s="231"/>
      <c r="I29" s="232">
        <f>G29+H29</f>
        <v>469.6</v>
      </c>
      <c r="J29" s="183">
        <v>220.5</v>
      </c>
      <c r="K29" s="184"/>
      <c r="L29" s="184"/>
      <c r="M29" s="176">
        <f>SUM(J29:L29)</f>
        <v>220.5</v>
      </c>
      <c r="N29" s="176">
        <v>4</v>
      </c>
      <c r="O29" s="177">
        <f>M29+N29</f>
        <v>224.5</v>
      </c>
      <c r="P29" s="253">
        <v>116.1</v>
      </c>
      <c r="Q29" s="230"/>
      <c r="R29" s="230"/>
      <c r="S29" s="231">
        <f>SUM(P29:R29)</f>
        <v>116.1</v>
      </c>
      <c r="T29" s="231">
        <v>0</v>
      </c>
      <c r="U29" s="232">
        <f>S29+T29</f>
        <v>116.1</v>
      </c>
      <c r="V29" s="253">
        <v>262</v>
      </c>
      <c r="W29" s="230"/>
      <c r="X29" s="230"/>
      <c r="Y29" s="231">
        <f>SUM(V29:X29)</f>
        <v>262</v>
      </c>
      <c r="Z29" s="231">
        <v>10</v>
      </c>
      <c r="AA29" s="232">
        <f>Y29+Z29</f>
        <v>272</v>
      </c>
      <c r="AB29" s="106">
        <f t="shared" ref="AB29:AB42" si="13">(AA29/O29)</f>
        <v>1.2115812917594655</v>
      </c>
      <c r="AC29" s="2"/>
      <c r="AD29" s="2"/>
    </row>
    <row r="30" spans="1:30" x14ac:dyDescent="0.25">
      <c r="A30" s="2"/>
      <c r="B30" s="12" t="s">
        <v>20</v>
      </c>
      <c r="C30" s="31" t="s">
        <v>12</v>
      </c>
      <c r="D30" s="233">
        <f>683.6+9+20.7</f>
        <v>713.30000000000007</v>
      </c>
      <c r="E30" s="233">
        <f>485.2+135.6</f>
        <v>620.79999999999995</v>
      </c>
      <c r="F30" s="233">
        <v>2284.8000000000002</v>
      </c>
      <c r="G30" s="234">
        <f t="shared" ref="G30:G39" si="14">SUM(D30:F30)</f>
        <v>3618.9</v>
      </c>
      <c r="H30" s="234">
        <v>326.5</v>
      </c>
      <c r="I30" s="218">
        <f t="shared" ref="I30:I39" si="15">G30+H30</f>
        <v>3945.4</v>
      </c>
      <c r="J30" s="185">
        <v>646</v>
      </c>
      <c r="K30" s="186">
        <v>337.1</v>
      </c>
      <c r="L30" s="186">
        <v>2663</v>
      </c>
      <c r="M30" s="178">
        <f t="shared" ref="M30:M39" si="16">SUM(J30:L30)</f>
        <v>3646.1</v>
      </c>
      <c r="N30" s="178">
        <v>290</v>
      </c>
      <c r="O30" s="152">
        <f t="shared" ref="O30:O39" si="17">M30+N30</f>
        <v>3936.1</v>
      </c>
      <c r="P30" s="254">
        <v>322.89999999999998</v>
      </c>
      <c r="Q30" s="233">
        <f>60.5+303.3</f>
        <v>363.8</v>
      </c>
      <c r="R30" s="233">
        <v>1251.3</v>
      </c>
      <c r="S30" s="234">
        <f t="shared" ref="S30:S39" si="18">SUM(P30:R30)</f>
        <v>1938</v>
      </c>
      <c r="T30" s="234">
        <v>186.9</v>
      </c>
      <c r="U30" s="218">
        <f t="shared" ref="U30:U39" si="19">S30+T30</f>
        <v>2124.9</v>
      </c>
      <c r="V30" s="254">
        <f>716.5+500+15+100+50</f>
        <v>1381.5</v>
      </c>
      <c r="W30" s="233">
        <v>26</v>
      </c>
      <c r="X30" s="233">
        <v>2348</v>
      </c>
      <c r="Y30" s="234">
        <f t="shared" ref="Y30:Y39" si="20">SUM(V30:X30)</f>
        <v>3755.5</v>
      </c>
      <c r="Z30" s="234">
        <v>471</v>
      </c>
      <c r="AA30" s="218">
        <f t="shared" ref="AA30:AA39" si="21">Y30+Z30</f>
        <v>4226.5</v>
      </c>
      <c r="AB30" s="106">
        <f t="shared" si="13"/>
        <v>1.0737786133482381</v>
      </c>
      <c r="AC30" s="2"/>
      <c r="AD30" s="2"/>
    </row>
    <row r="31" spans="1:30" x14ac:dyDescent="0.25">
      <c r="A31" s="2"/>
      <c r="B31" s="12" t="s">
        <v>22</v>
      </c>
      <c r="C31" s="31" t="s">
        <v>14</v>
      </c>
      <c r="D31" s="233">
        <v>2854.8</v>
      </c>
      <c r="E31" s="233">
        <v>0</v>
      </c>
      <c r="F31" s="233"/>
      <c r="G31" s="234">
        <f t="shared" si="14"/>
        <v>2854.8</v>
      </c>
      <c r="H31" s="234">
        <v>60</v>
      </c>
      <c r="I31" s="218">
        <f t="shared" si="15"/>
        <v>2914.8</v>
      </c>
      <c r="J31" s="185">
        <v>3329.7</v>
      </c>
      <c r="K31" s="186"/>
      <c r="L31" s="186">
        <v>10</v>
      </c>
      <c r="M31" s="178">
        <f t="shared" si="16"/>
        <v>3339.7</v>
      </c>
      <c r="N31" s="178">
        <v>85.8</v>
      </c>
      <c r="O31" s="152">
        <f t="shared" si="17"/>
        <v>3425.5</v>
      </c>
      <c r="P31" s="254">
        <v>1612.6</v>
      </c>
      <c r="Q31" s="233"/>
      <c r="R31" s="233"/>
      <c r="S31" s="234">
        <f t="shared" si="18"/>
        <v>1612.6</v>
      </c>
      <c r="T31" s="234">
        <v>29.9</v>
      </c>
      <c r="U31" s="218">
        <f t="shared" si="19"/>
        <v>1642.5</v>
      </c>
      <c r="V31" s="254">
        <v>3110</v>
      </c>
      <c r="W31" s="233"/>
      <c r="X31" s="233"/>
      <c r="Y31" s="234">
        <f t="shared" si="20"/>
        <v>3110</v>
      </c>
      <c r="Z31" s="234">
        <v>99</v>
      </c>
      <c r="AA31" s="218">
        <f t="shared" si="21"/>
        <v>3209</v>
      </c>
      <c r="AB31" s="106">
        <f t="shared" si="13"/>
        <v>0.93679754780324043</v>
      </c>
      <c r="AC31" s="2"/>
      <c r="AD31" s="2"/>
    </row>
    <row r="32" spans="1:30" x14ac:dyDescent="0.25">
      <c r="A32" s="2"/>
      <c r="B32" s="12" t="s">
        <v>24</v>
      </c>
      <c r="C32" s="31" t="s">
        <v>16</v>
      </c>
      <c r="D32" s="233">
        <f>1517.6+33+17.3</f>
        <v>1567.8999999999999</v>
      </c>
      <c r="E32" s="233">
        <f>114.7+243.5+71.5</f>
        <v>429.7</v>
      </c>
      <c r="F32" s="233">
        <v>8.9</v>
      </c>
      <c r="G32" s="234">
        <f t="shared" si="14"/>
        <v>2006.5</v>
      </c>
      <c r="H32" s="234"/>
      <c r="I32" s="218">
        <f t="shared" si="15"/>
        <v>2006.5</v>
      </c>
      <c r="J32" s="185">
        <v>1455.5</v>
      </c>
      <c r="K32" s="186">
        <v>320</v>
      </c>
      <c r="L32" s="186">
        <v>70</v>
      </c>
      <c r="M32" s="178">
        <f t="shared" si="16"/>
        <v>1845.5</v>
      </c>
      <c r="N32" s="178">
        <v>15</v>
      </c>
      <c r="O32" s="152">
        <f t="shared" si="17"/>
        <v>1860.5</v>
      </c>
      <c r="P32" s="254">
        <v>766.7</v>
      </c>
      <c r="Q32" s="233">
        <f>110.7+698.6+25.9</f>
        <v>835.2</v>
      </c>
      <c r="R32" s="233">
        <v>94.4</v>
      </c>
      <c r="S32" s="234">
        <f t="shared" si="18"/>
        <v>1696.3000000000002</v>
      </c>
      <c r="T32" s="234">
        <v>0</v>
      </c>
      <c r="U32" s="218">
        <f t="shared" si="19"/>
        <v>1696.3000000000002</v>
      </c>
      <c r="V32" s="254">
        <f>1577.5+90+25</f>
        <v>1692.5</v>
      </c>
      <c r="W32" s="233">
        <v>100</v>
      </c>
      <c r="X32" s="233">
        <v>180</v>
      </c>
      <c r="Y32" s="234">
        <f t="shared" si="20"/>
        <v>1972.5</v>
      </c>
      <c r="Z32" s="234">
        <v>15</v>
      </c>
      <c r="AA32" s="218">
        <f t="shared" si="21"/>
        <v>1987.5</v>
      </c>
      <c r="AB32" s="106">
        <f t="shared" si="13"/>
        <v>1.0682612201021231</v>
      </c>
      <c r="AC32" s="2"/>
      <c r="AD32" s="2"/>
    </row>
    <row r="33" spans="1:30" x14ac:dyDescent="0.25">
      <c r="A33" s="2"/>
      <c r="B33" s="12" t="s">
        <v>26</v>
      </c>
      <c r="C33" s="31" t="s">
        <v>18</v>
      </c>
      <c r="D33" s="250">
        <f>SUM(D34:D35)</f>
        <v>370.8</v>
      </c>
      <c r="E33" s="233">
        <f>SUM(E34:E35)</f>
        <v>35601.600000000006</v>
      </c>
      <c r="F33" s="250">
        <f>SUM(F34:F35)</f>
        <v>1.7</v>
      </c>
      <c r="G33" s="234">
        <f t="shared" si="14"/>
        <v>35974.100000000006</v>
      </c>
      <c r="H33" s="234">
        <f>SUM(H34:H35)</f>
        <v>132</v>
      </c>
      <c r="I33" s="218">
        <f t="shared" si="15"/>
        <v>36106.100000000006</v>
      </c>
      <c r="J33" s="185">
        <f>SUM(J34:J35)</f>
        <v>316.10000000000002</v>
      </c>
      <c r="K33" s="185">
        <f t="shared" ref="K33:L33" si="22">SUM(K34:K35)</f>
        <v>35210.400000000001</v>
      </c>
      <c r="L33" s="185">
        <f t="shared" si="22"/>
        <v>5</v>
      </c>
      <c r="M33" s="178">
        <f t="shared" si="16"/>
        <v>35531.5</v>
      </c>
      <c r="N33" s="178">
        <f>SUM(N34:N35)</f>
        <v>155</v>
      </c>
      <c r="O33" s="152">
        <f t="shared" si="17"/>
        <v>35686.5</v>
      </c>
      <c r="P33" s="235">
        <f>SUM(P34:P35)</f>
        <v>202.1</v>
      </c>
      <c r="Q33" s="235">
        <f t="shared" ref="Q33:R33" si="23">SUM(Q34:Q35)</f>
        <v>18462.400000000001</v>
      </c>
      <c r="R33" s="235">
        <f t="shared" si="23"/>
        <v>0</v>
      </c>
      <c r="S33" s="234">
        <f t="shared" si="18"/>
        <v>18664.5</v>
      </c>
      <c r="T33" s="234">
        <f>SUM(T34:T35)</f>
        <v>75.199999999999989</v>
      </c>
      <c r="U33" s="218">
        <f t="shared" si="19"/>
        <v>18739.7</v>
      </c>
      <c r="V33" s="235">
        <f>SUM(V34:V35)</f>
        <v>6371.7</v>
      </c>
      <c r="W33" s="255">
        <f t="shared" ref="W33:X33" si="24">SUM(W34:W35)</f>
        <v>31143.5</v>
      </c>
      <c r="X33" s="255">
        <f t="shared" si="24"/>
        <v>0</v>
      </c>
      <c r="Y33" s="234">
        <f t="shared" si="20"/>
        <v>37515.199999999997</v>
      </c>
      <c r="Z33" s="234">
        <f>SUM(Z34:Z35)</f>
        <v>148</v>
      </c>
      <c r="AA33" s="218">
        <f t="shared" si="21"/>
        <v>37663.199999999997</v>
      </c>
      <c r="AB33" s="106">
        <f t="shared" si="13"/>
        <v>1.0553906939599007</v>
      </c>
      <c r="AC33" s="2"/>
      <c r="AD33" s="2"/>
    </row>
    <row r="34" spans="1:30" x14ac:dyDescent="0.25">
      <c r="A34" s="2"/>
      <c r="B34" s="12" t="s">
        <v>28</v>
      </c>
      <c r="C34" s="32" t="s">
        <v>125</v>
      </c>
      <c r="D34" s="250">
        <f>161.6+131.4</f>
        <v>293</v>
      </c>
      <c r="E34" s="233">
        <f>27122.5+173.4+5259.7+43.8+1838.5+34.6+430.4+4.4</f>
        <v>34907.300000000003</v>
      </c>
      <c r="F34" s="233">
        <v>1.7</v>
      </c>
      <c r="G34" s="234">
        <f>SUM(D34:F34)</f>
        <v>35202</v>
      </c>
      <c r="H34" s="234">
        <v>68</v>
      </c>
      <c r="I34" s="218">
        <f t="shared" si="15"/>
        <v>35270</v>
      </c>
      <c r="J34" s="185">
        <v>292.10000000000002</v>
      </c>
      <c r="K34" s="186">
        <v>34864</v>
      </c>
      <c r="L34" s="186">
        <v>5</v>
      </c>
      <c r="M34" s="178">
        <f t="shared" si="16"/>
        <v>35161.1</v>
      </c>
      <c r="N34" s="178">
        <v>55</v>
      </c>
      <c r="O34" s="152">
        <f t="shared" si="17"/>
        <v>35216.1</v>
      </c>
      <c r="P34" s="235">
        <f>174</f>
        <v>174</v>
      </c>
      <c r="Q34" s="233">
        <f>16399.2+1519+114.5</f>
        <v>18032.7</v>
      </c>
      <c r="R34" s="233"/>
      <c r="S34" s="234">
        <f t="shared" si="18"/>
        <v>18206.7</v>
      </c>
      <c r="T34" s="234">
        <v>40.4</v>
      </c>
      <c r="U34" s="218">
        <f t="shared" si="19"/>
        <v>18247.100000000002</v>
      </c>
      <c r="V34" s="255">
        <f>6046.4+130.3</f>
        <v>6176.7</v>
      </c>
      <c r="W34" s="233">
        <f>1030.8+494.7+29538</f>
        <v>31063.5</v>
      </c>
      <c r="X34" s="233"/>
      <c r="Y34" s="234">
        <f t="shared" si="20"/>
        <v>37240.199999999997</v>
      </c>
      <c r="Z34" s="234">
        <v>68</v>
      </c>
      <c r="AA34" s="218">
        <f t="shared" si="21"/>
        <v>37308.199999999997</v>
      </c>
      <c r="AB34" s="106">
        <f t="shared" si="13"/>
        <v>1.0594074869164956</v>
      </c>
      <c r="AC34" s="2"/>
      <c r="AD34" s="2"/>
    </row>
    <row r="35" spans="1:30" x14ac:dyDescent="0.25">
      <c r="A35" s="2"/>
      <c r="B35" s="12" t="s">
        <v>30</v>
      </c>
      <c r="C35" s="33" t="s">
        <v>21</v>
      </c>
      <c r="D35" s="250">
        <v>77.8</v>
      </c>
      <c r="E35" s="233">
        <f>61.7+113.3+249.9+142.2+127.2</f>
        <v>694.3</v>
      </c>
      <c r="F35" s="233"/>
      <c r="G35" s="234">
        <f t="shared" si="14"/>
        <v>772.09999999999991</v>
      </c>
      <c r="H35" s="234">
        <v>64</v>
      </c>
      <c r="I35" s="218">
        <f t="shared" si="15"/>
        <v>836.09999999999991</v>
      </c>
      <c r="J35" s="185">
        <v>24</v>
      </c>
      <c r="K35" s="186">
        <v>346.4</v>
      </c>
      <c r="L35" s="186"/>
      <c r="M35" s="178">
        <f>SUM(J35:L35)</f>
        <v>370.4</v>
      </c>
      <c r="N35" s="178">
        <v>100</v>
      </c>
      <c r="O35" s="152">
        <f t="shared" si="17"/>
        <v>470.4</v>
      </c>
      <c r="P35" s="255">
        <v>28.1</v>
      </c>
      <c r="Q35" s="233">
        <f>85.4+272.6+71.7</f>
        <v>429.7</v>
      </c>
      <c r="R35" s="233"/>
      <c r="S35" s="234">
        <f t="shared" si="18"/>
        <v>457.8</v>
      </c>
      <c r="T35" s="234">
        <v>34.799999999999997</v>
      </c>
      <c r="U35" s="218">
        <f t="shared" si="19"/>
        <v>492.6</v>
      </c>
      <c r="V35" s="255">
        <f>40+155</f>
        <v>195</v>
      </c>
      <c r="W35" s="233">
        <v>80</v>
      </c>
      <c r="X35" s="233"/>
      <c r="Y35" s="234">
        <f t="shared" si="20"/>
        <v>275</v>
      </c>
      <c r="Z35" s="234">
        <v>80</v>
      </c>
      <c r="AA35" s="218">
        <f t="shared" si="21"/>
        <v>355</v>
      </c>
      <c r="AB35" s="106">
        <f t="shared" si="13"/>
        <v>0.75467687074829937</v>
      </c>
      <c r="AC35" s="2"/>
      <c r="AD35" s="2"/>
    </row>
    <row r="36" spans="1:30" x14ac:dyDescent="0.25">
      <c r="A36" s="2"/>
      <c r="B36" s="12" t="s">
        <v>32</v>
      </c>
      <c r="C36" s="31" t="s">
        <v>23</v>
      </c>
      <c r="D36" s="251">
        <f>54.6+44.4</f>
        <v>99</v>
      </c>
      <c r="E36" s="233">
        <f>10841.3+621.4+145.5</f>
        <v>11608.199999999999</v>
      </c>
      <c r="F36" s="233">
        <v>0.6</v>
      </c>
      <c r="G36" s="234">
        <f t="shared" si="14"/>
        <v>11707.8</v>
      </c>
      <c r="H36" s="234">
        <v>23</v>
      </c>
      <c r="I36" s="218">
        <f t="shared" si="15"/>
        <v>11730.8</v>
      </c>
      <c r="J36" s="185">
        <v>98.7</v>
      </c>
      <c r="K36" s="186">
        <v>11725.6</v>
      </c>
      <c r="L36" s="186">
        <v>130</v>
      </c>
      <c r="M36" s="178">
        <f t="shared" ref="M36" si="25">SUM(J36:L36)</f>
        <v>11954.300000000001</v>
      </c>
      <c r="N36" s="178">
        <v>18.899999999999999</v>
      </c>
      <c r="O36" s="152">
        <f t="shared" si="17"/>
        <v>11973.2</v>
      </c>
      <c r="P36" s="255">
        <v>58.8</v>
      </c>
      <c r="Q36" s="233">
        <f>5435.3+496.4+37.3</f>
        <v>5969</v>
      </c>
      <c r="R36" s="233"/>
      <c r="S36" s="234">
        <f t="shared" si="18"/>
        <v>6027.8</v>
      </c>
      <c r="T36" s="234">
        <v>13.6</v>
      </c>
      <c r="U36" s="218">
        <f t="shared" si="19"/>
        <v>6041.4000000000005</v>
      </c>
      <c r="V36" s="255">
        <f>2294.4+44.1</f>
        <v>2338.5</v>
      </c>
      <c r="W36" s="233">
        <f>165.5+344.1+9983.8</f>
        <v>10493.4</v>
      </c>
      <c r="X36" s="233"/>
      <c r="Y36" s="234">
        <f t="shared" si="20"/>
        <v>12831.9</v>
      </c>
      <c r="Z36" s="234"/>
      <c r="AA36" s="218">
        <f t="shared" si="21"/>
        <v>12831.9</v>
      </c>
      <c r="AB36" s="106">
        <f t="shared" si="13"/>
        <v>1.0717185046604081</v>
      </c>
      <c r="AC36" s="2"/>
      <c r="AD36" s="2"/>
    </row>
    <row r="37" spans="1:30" x14ac:dyDescent="0.25">
      <c r="A37" s="2"/>
      <c r="B37" s="12" t="s">
        <v>33</v>
      </c>
      <c r="C37" s="31" t="s">
        <v>25</v>
      </c>
      <c r="D37" s="233">
        <v>0</v>
      </c>
      <c r="E37" s="233"/>
      <c r="F37" s="233">
        <v>118.2</v>
      </c>
      <c r="G37" s="234">
        <f t="shared" si="14"/>
        <v>118.2</v>
      </c>
      <c r="H37" s="234"/>
      <c r="I37" s="218">
        <f t="shared" si="15"/>
        <v>118.2</v>
      </c>
      <c r="J37" s="185"/>
      <c r="K37" s="186"/>
      <c r="L37" s="186"/>
      <c r="M37" s="178">
        <f t="shared" si="16"/>
        <v>0</v>
      </c>
      <c r="N37" s="178"/>
      <c r="O37" s="152">
        <f t="shared" si="17"/>
        <v>0</v>
      </c>
      <c r="P37" s="254"/>
      <c r="Q37" s="233"/>
      <c r="R37" s="233">
        <v>34.9</v>
      </c>
      <c r="S37" s="234">
        <f t="shared" si="18"/>
        <v>34.9</v>
      </c>
      <c r="T37" s="234">
        <v>0</v>
      </c>
      <c r="U37" s="218">
        <f t="shared" si="19"/>
        <v>34.9</v>
      </c>
      <c r="V37" s="254"/>
      <c r="W37" s="233"/>
      <c r="X37" s="233">
        <v>71</v>
      </c>
      <c r="Y37" s="234">
        <f t="shared" si="20"/>
        <v>71</v>
      </c>
      <c r="Z37" s="234">
        <v>23.4</v>
      </c>
      <c r="AA37" s="218">
        <f t="shared" si="21"/>
        <v>94.4</v>
      </c>
      <c r="AB37" s="106" t="e">
        <f t="shared" si="13"/>
        <v>#DIV/0!</v>
      </c>
      <c r="AC37" s="2"/>
      <c r="AD37" s="2"/>
    </row>
    <row r="38" spans="1:30" x14ac:dyDescent="0.25">
      <c r="A38" s="2"/>
      <c r="B38" s="12" t="s">
        <v>34</v>
      </c>
      <c r="C38" s="31" t="s">
        <v>27</v>
      </c>
      <c r="D38" s="233">
        <v>951.1</v>
      </c>
      <c r="E38" s="233"/>
      <c r="F38" s="233">
        <v>1000.9</v>
      </c>
      <c r="G38" s="234">
        <f t="shared" si="14"/>
        <v>1952</v>
      </c>
      <c r="H38" s="234"/>
      <c r="I38" s="218">
        <f t="shared" si="15"/>
        <v>1952</v>
      </c>
      <c r="J38" s="185">
        <v>996.4</v>
      </c>
      <c r="K38" s="186"/>
      <c r="L38" s="186">
        <v>1030</v>
      </c>
      <c r="M38" s="178">
        <f t="shared" si="16"/>
        <v>2026.4</v>
      </c>
      <c r="N38" s="178"/>
      <c r="O38" s="152">
        <f t="shared" si="17"/>
        <v>2026.4</v>
      </c>
      <c r="P38" s="254">
        <v>461.4</v>
      </c>
      <c r="Q38" s="233"/>
      <c r="R38" s="233">
        <v>345.3</v>
      </c>
      <c r="S38" s="234">
        <f t="shared" si="18"/>
        <v>806.7</v>
      </c>
      <c r="T38" s="234">
        <v>0</v>
      </c>
      <c r="U38" s="218">
        <f t="shared" si="19"/>
        <v>806.7</v>
      </c>
      <c r="V38" s="254">
        <v>1022.5</v>
      </c>
      <c r="W38" s="233"/>
      <c r="X38" s="233">
        <v>800</v>
      </c>
      <c r="Y38" s="234">
        <f t="shared" si="20"/>
        <v>1822.5</v>
      </c>
      <c r="Z38" s="234"/>
      <c r="AA38" s="218">
        <f t="shared" si="21"/>
        <v>1822.5</v>
      </c>
      <c r="AB38" s="106">
        <f t="shared" si="13"/>
        <v>0.89937820765890242</v>
      </c>
      <c r="AC38" s="2"/>
      <c r="AD38" s="2"/>
    </row>
    <row r="39" spans="1:30" ht="15.75" thickBot="1" x14ac:dyDescent="0.3">
      <c r="A39" s="2"/>
      <c r="B39" s="17" t="s">
        <v>35</v>
      </c>
      <c r="C39" s="68" t="s">
        <v>29</v>
      </c>
      <c r="D39" s="252">
        <f>73.6+161.1+1.9+55.3+40.5+9</f>
        <v>341.4</v>
      </c>
      <c r="E39" s="252">
        <f>13.8+401.9+191.3+140.5+5.1+65.7+133.3+6.9+8.5+56.1+1.8+1.5+460.9</f>
        <v>1487.3000000000002</v>
      </c>
      <c r="F39" s="252">
        <f>35.8+281.2</f>
        <v>317</v>
      </c>
      <c r="G39" s="234">
        <f t="shared" si="14"/>
        <v>2145.7000000000003</v>
      </c>
      <c r="H39" s="236">
        <v>0.6</v>
      </c>
      <c r="I39" s="222">
        <f t="shared" si="15"/>
        <v>2146.3000000000002</v>
      </c>
      <c r="J39" s="187">
        <v>333.8</v>
      </c>
      <c r="K39" s="188">
        <v>1784.5</v>
      </c>
      <c r="L39" s="188">
        <v>158</v>
      </c>
      <c r="M39" s="179">
        <f t="shared" si="16"/>
        <v>2276.3000000000002</v>
      </c>
      <c r="N39" s="179">
        <v>110.9</v>
      </c>
      <c r="O39" s="168">
        <f t="shared" si="17"/>
        <v>2387.2000000000003</v>
      </c>
      <c r="P39" s="256">
        <f>34.3+1.2+9.8+85.8+98.3</f>
        <v>229.39999999999998</v>
      </c>
      <c r="Q39" s="252">
        <f>59.6+4.6+76.2+206.1+11.7+0.8+4.5+125+28+2.7+52.8+1+4+(0.2)</f>
        <v>577.20000000000005</v>
      </c>
      <c r="R39" s="252">
        <f>30.1+142.3</f>
        <v>172.4</v>
      </c>
      <c r="S39" s="236">
        <f t="shared" si="18"/>
        <v>979</v>
      </c>
      <c r="T39" s="236">
        <v>0.4</v>
      </c>
      <c r="U39" s="222">
        <f t="shared" si="19"/>
        <v>979.4</v>
      </c>
      <c r="V39" s="256">
        <f>219+41+40+27.5+2+36+50+50+60.5+1.3</f>
        <v>527.29999999999995</v>
      </c>
      <c r="W39" s="252">
        <f>10.3+6.6+295.4</f>
        <v>312.29999999999995</v>
      </c>
      <c r="X39" s="252">
        <v>214</v>
      </c>
      <c r="Y39" s="236">
        <f t="shared" si="20"/>
        <v>1053.5999999999999</v>
      </c>
      <c r="Z39" s="236">
        <v>100.6</v>
      </c>
      <c r="AA39" s="222">
        <f t="shared" si="21"/>
        <v>1154.1999999999998</v>
      </c>
      <c r="AB39" s="109">
        <f t="shared" si="13"/>
        <v>0.4834953083109918</v>
      </c>
      <c r="AC39" s="2"/>
      <c r="AD39" s="2"/>
    </row>
    <row r="40" spans="1:30" ht="15.75" thickBot="1" x14ac:dyDescent="0.3">
      <c r="A40" s="2"/>
      <c r="B40" s="21" t="s">
        <v>48</v>
      </c>
      <c r="C40" s="69" t="s">
        <v>31</v>
      </c>
      <c r="D40" s="237">
        <f>SUM(D36:D39)+SUM(D29:D33)</f>
        <v>7367.9000000000005</v>
      </c>
      <c r="E40" s="237">
        <f>SUM(E36:E39)+SUM(E29:E33)</f>
        <v>49747.600000000006</v>
      </c>
      <c r="F40" s="237">
        <f>SUM(F36:F39)+SUM(F29:F33)</f>
        <v>3732.1000000000004</v>
      </c>
      <c r="G40" s="238">
        <f>SUM(D40:F40)</f>
        <v>60847.600000000006</v>
      </c>
      <c r="H40" s="239">
        <f>SUM(H29:H33)+SUM(H36:H39)</f>
        <v>542.1</v>
      </c>
      <c r="I40" s="240">
        <f>SUM(I36:I39)+SUM(I29:I33)</f>
        <v>61389.700000000012</v>
      </c>
      <c r="J40" s="189">
        <f>SUM(J36:J39)+SUM(J29:J33)</f>
        <v>7396.7</v>
      </c>
      <c r="K40" s="189">
        <f>SUM(K36:K39)+SUM(K29:K33)</f>
        <v>49377.599999999999</v>
      </c>
      <c r="L40" s="189">
        <f>SUM(L36:L39)+SUM(L29:L33)</f>
        <v>4066</v>
      </c>
      <c r="M40" s="180">
        <f>SUM(J40:L40)</f>
        <v>60840.299999999996</v>
      </c>
      <c r="N40" s="181">
        <f>SUM(N29:N33)+SUM(N36:N39)</f>
        <v>679.59999999999991</v>
      </c>
      <c r="O40" s="182">
        <f>SUM(O36:O39)+SUM(O29:O33)</f>
        <v>61519.899999999994</v>
      </c>
      <c r="P40" s="237">
        <f>SUM(P36:P39)+SUM(P29:P33)</f>
        <v>3770</v>
      </c>
      <c r="Q40" s="237">
        <f>SUM(Q36:Q39)+SUM(Q29:Q33)</f>
        <v>26207.600000000002</v>
      </c>
      <c r="R40" s="237">
        <f>SUM(R36:R39)+SUM(R29:R33)</f>
        <v>1898.3000000000002</v>
      </c>
      <c r="S40" s="238">
        <f>SUM(P40:R40)</f>
        <v>31875.9</v>
      </c>
      <c r="T40" s="239">
        <f>SUM(T29:T33)+SUM(T36:T39)</f>
        <v>306</v>
      </c>
      <c r="U40" s="240">
        <f>SUM(U36:U39)+SUM(U29:U33)</f>
        <v>32181.9</v>
      </c>
      <c r="V40" s="237">
        <f>SUM(V36:V39)+SUM(V29:V33)</f>
        <v>16706</v>
      </c>
      <c r="W40" s="237">
        <f>SUM(W36:W39)+SUM(W29:W33)</f>
        <v>42075.199999999997</v>
      </c>
      <c r="X40" s="237">
        <f>SUM(X36:X39)+SUM(X29:X33)</f>
        <v>3613</v>
      </c>
      <c r="Y40" s="105">
        <f>SUM(V40:X40)</f>
        <v>62394.2</v>
      </c>
      <c r="Z40" s="34">
        <f>SUM(Z29:Z33)+SUM(Z36:Z39)</f>
        <v>867</v>
      </c>
      <c r="AA40" s="35">
        <f>SUM(AA36:AA39)+SUM(AA29:AA33)</f>
        <v>63261.2</v>
      </c>
      <c r="AB40" s="111">
        <f t="shared" si="13"/>
        <v>1.0283046623937946</v>
      </c>
      <c r="AC40" s="2"/>
      <c r="AD40" s="2"/>
    </row>
    <row r="41" spans="1:30" ht="19.5" thickBot="1" x14ac:dyDescent="0.35">
      <c r="A41" s="2"/>
      <c r="B41" s="73" t="s">
        <v>49</v>
      </c>
      <c r="C41" s="74" t="s">
        <v>51</v>
      </c>
      <c r="D41" s="75">
        <f t="shared" ref="D41:AA41" si="26">D25-D40</f>
        <v>-103.80000000000109</v>
      </c>
      <c r="E41" s="75">
        <f t="shared" si="26"/>
        <v>-184.90000000000146</v>
      </c>
      <c r="F41" s="75">
        <f t="shared" si="26"/>
        <v>336.99999999999955</v>
      </c>
      <c r="G41" s="84">
        <f t="shared" si="26"/>
        <v>48.299999999995634</v>
      </c>
      <c r="H41" s="84">
        <f t="shared" si="26"/>
        <v>183.89999999999998</v>
      </c>
      <c r="I41" s="85">
        <f t="shared" si="26"/>
        <v>232.19999999998981</v>
      </c>
      <c r="J41" s="75">
        <f t="shared" si="26"/>
        <v>0</v>
      </c>
      <c r="K41" s="75">
        <f t="shared" si="26"/>
        <v>0</v>
      </c>
      <c r="L41" s="75">
        <f t="shared" si="26"/>
        <v>0</v>
      </c>
      <c r="M41" s="145">
        <f t="shared" si="26"/>
        <v>0</v>
      </c>
      <c r="N41" s="145">
        <f t="shared" si="26"/>
        <v>0</v>
      </c>
      <c r="O41" s="146">
        <f t="shared" si="26"/>
        <v>0</v>
      </c>
      <c r="P41" s="241">
        <f t="shared" si="26"/>
        <v>366.69999999999982</v>
      </c>
      <c r="Q41" s="242">
        <f t="shared" si="26"/>
        <v>-90.400000000005093</v>
      </c>
      <c r="R41" s="75">
        <f t="shared" si="26"/>
        <v>172.89999999999964</v>
      </c>
      <c r="S41" s="84">
        <f t="shared" si="26"/>
        <v>449.19999999999709</v>
      </c>
      <c r="T41" s="84">
        <f t="shared" si="26"/>
        <v>81.699999999999989</v>
      </c>
      <c r="U41" s="85">
        <f t="shared" si="26"/>
        <v>530.89999999999418</v>
      </c>
      <c r="V41" s="241">
        <f t="shared" si="26"/>
        <v>0</v>
      </c>
      <c r="W41" s="241">
        <f>W25-W40</f>
        <v>0</v>
      </c>
      <c r="X41" s="241">
        <f t="shared" si="26"/>
        <v>0</v>
      </c>
      <c r="Y41" s="84">
        <f t="shared" si="26"/>
        <v>0</v>
      </c>
      <c r="Z41" s="84">
        <f t="shared" si="26"/>
        <v>0</v>
      </c>
      <c r="AA41" s="85">
        <f t="shared" si="26"/>
        <v>0</v>
      </c>
      <c r="AB41" s="112" t="e">
        <f t="shared" si="13"/>
        <v>#DIV/0!</v>
      </c>
      <c r="AC41" s="2"/>
      <c r="AD41" s="2"/>
    </row>
    <row r="42" spans="1:30" ht="15.75" thickBot="1" x14ac:dyDescent="0.3">
      <c r="A42" s="2"/>
      <c r="B42" s="76" t="s">
        <v>50</v>
      </c>
      <c r="C42" s="77" t="s">
        <v>65</v>
      </c>
      <c r="D42" s="78"/>
      <c r="E42" s="79"/>
      <c r="F42" s="79"/>
      <c r="G42" s="80"/>
      <c r="H42" s="81"/>
      <c r="I42" s="82">
        <f>I41-D16</f>
        <v>-6551.00000000001</v>
      </c>
      <c r="J42" s="78"/>
      <c r="K42" s="79"/>
      <c r="L42" s="79"/>
      <c r="M42" s="80"/>
      <c r="N42" s="83"/>
      <c r="O42" s="82">
        <f>O41-J16</f>
        <v>-7000</v>
      </c>
      <c r="P42" s="78"/>
      <c r="Q42" s="79"/>
      <c r="R42" s="79"/>
      <c r="S42" s="80"/>
      <c r="T42" s="83"/>
      <c r="U42" s="82">
        <f>U41-P16</f>
        <v>-3209.1000000000058</v>
      </c>
      <c r="V42" s="78"/>
      <c r="W42" s="79"/>
      <c r="X42" s="79"/>
      <c r="Y42" s="80"/>
      <c r="Z42" s="83"/>
      <c r="AA42" s="82">
        <f>AA41-V16</f>
        <v>-7234</v>
      </c>
      <c r="AB42" s="106">
        <f t="shared" si="13"/>
        <v>1.0334285714285714</v>
      </c>
      <c r="AC42" s="2"/>
      <c r="AD42" s="2"/>
    </row>
    <row r="43" spans="1:30" ht="8.25" customHeight="1" thickBot="1" x14ac:dyDescent="0.3">
      <c r="A43" s="2"/>
      <c r="B43" s="57"/>
      <c r="C43" s="39"/>
      <c r="D43" s="58"/>
      <c r="E43" s="40"/>
      <c r="F43" s="40"/>
      <c r="G43" s="2"/>
      <c r="H43" s="40"/>
      <c r="I43" s="40"/>
      <c r="J43" s="58"/>
      <c r="K43" s="40"/>
      <c r="L43" s="40"/>
      <c r="M43" s="2"/>
      <c r="N43" s="40"/>
      <c r="O43" s="40"/>
      <c r="P43" s="40"/>
      <c r="Q43" s="40"/>
      <c r="R43" s="40"/>
      <c r="S43" s="40"/>
      <c r="T43" s="40"/>
      <c r="U43" s="40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57"/>
      <c r="C44" s="341" t="s">
        <v>83</v>
      </c>
      <c r="D44" s="72" t="s">
        <v>41</v>
      </c>
      <c r="E44" s="36" t="s">
        <v>84</v>
      </c>
      <c r="F44" s="37" t="s">
        <v>36</v>
      </c>
      <c r="G44" s="40"/>
      <c r="H44" s="40"/>
      <c r="I44" s="41"/>
      <c r="J44" s="72" t="s">
        <v>41</v>
      </c>
      <c r="K44" s="36" t="s">
        <v>84</v>
      </c>
      <c r="L44" s="37" t="s">
        <v>36</v>
      </c>
      <c r="M44" s="40"/>
      <c r="N44" s="40"/>
      <c r="O44" s="40"/>
      <c r="P44" s="72" t="s">
        <v>41</v>
      </c>
      <c r="Q44" s="36" t="s">
        <v>84</v>
      </c>
      <c r="R44" s="37" t="s">
        <v>36</v>
      </c>
      <c r="S44" s="2"/>
      <c r="T44" s="2"/>
      <c r="U44" s="2"/>
      <c r="V44" s="72" t="s">
        <v>41</v>
      </c>
      <c r="W44" s="36" t="s">
        <v>84</v>
      </c>
      <c r="X44" s="37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57"/>
      <c r="C45" s="342"/>
      <c r="D45" s="60">
        <f>SUM(E45:F45)</f>
        <v>642.1</v>
      </c>
      <c r="E45" s="70">
        <v>642.1</v>
      </c>
      <c r="F45" s="71">
        <v>0</v>
      </c>
      <c r="G45" s="40"/>
      <c r="H45" s="40"/>
      <c r="I45" s="41"/>
      <c r="J45" s="60">
        <f>SUM(K45:L45)</f>
        <v>642.1</v>
      </c>
      <c r="K45" s="70">
        <v>642.1</v>
      </c>
      <c r="L45" s="71">
        <v>0</v>
      </c>
      <c r="M45" s="59"/>
      <c r="N45" s="59"/>
      <c r="O45" s="59"/>
      <c r="P45" s="277">
        <f>SUM(Q45:R45)</f>
        <v>321</v>
      </c>
      <c r="Q45" s="70">
        <v>321</v>
      </c>
      <c r="R45" s="71">
        <v>0</v>
      </c>
      <c r="S45" s="2"/>
      <c r="T45" s="2"/>
      <c r="U45" s="2"/>
      <c r="V45" s="60">
        <f>SUM(W45:X45)</f>
        <v>642.1</v>
      </c>
      <c r="W45" s="278">
        <v>642.1</v>
      </c>
      <c r="X45" s="71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57"/>
      <c r="C46" s="39"/>
      <c r="D46" s="59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1"/>
      <c r="P46" s="41"/>
      <c r="Q46" s="41"/>
      <c r="R46" s="41"/>
      <c r="S46" s="41"/>
      <c r="T46" s="41"/>
      <c r="U46" s="41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57"/>
      <c r="C47" s="341" t="s">
        <v>86</v>
      </c>
      <c r="D47" s="61" t="s">
        <v>87</v>
      </c>
      <c r="E47" s="62" t="s">
        <v>85</v>
      </c>
      <c r="F47" s="40"/>
      <c r="G47" s="40"/>
      <c r="H47" s="40"/>
      <c r="I47" s="41"/>
      <c r="J47" s="61" t="s">
        <v>87</v>
      </c>
      <c r="K47" s="62" t="s">
        <v>85</v>
      </c>
      <c r="L47" s="107"/>
      <c r="M47" s="107"/>
      <c r="N47" s="2"/>
      <c r="O47" s="2"/>
      <c r="P47" s="61" t="s">
        <v>87</v>
      </c>
      <c r="Q47" s="62" t="s">
        <v>85</v>
      </c>
      <c r="R47" s="2"/>
      <c r="S47" s="2"/>
      <c r="T47" s="2"/>
      <c r="U47" s="2"/>
      <c r="V47" s="61" t="s">
        <v>87</v>
      </c>
      <c r="W47" s="62" t="s">
        <v>85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38"/>
      <c r="C48" s="343"/>
      <c r="D48" s="60">
        <v>0</v>
      </c>
      <c r="E48" s="63">
        <v>0</v>
      </c>
      <c r="F48" s="40"/>
      <c r="G48" s="40"/>
      <c r="H48" s="40"/>
      <c r="I48" s="41"/>
      <c r="J48" s="60">
        <v>0</v>
      </c>
      <c r="K48" s="63">
        <v>0</v>
      </c>
      <c r="L48" s="108"/>
      <c r="M48" s="108"/>
      <c r="N48" s="2"/>
      <c r="O48" s="2"/>
      <c r="P48" s="60">
        <v>0</v>
      </c>
      <c r="Q48" s="63">
        <v>0</v>
      </c>
      <c r="R48" s="2"/>
      <c r="S48" s="2"/>
      <c r="T48" s="2"/>
      <c r="U48" s="2"/>
      <c r="V48" s="60">
        <v>0</v>
      </c>
      <c r="W48" s="63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38"/>
      <c r="C49" s="39"/>
      <c r="D49" s="40"/>
      <c r="E49" s="40"/>
      <c r="F49" s="40"/>
      <c r="G49" s="40"/>
      <c r="H49" s="40"/>
      <c r="I49" s="41"/>
      <c r="J49" s="40"/>
      <c r="K49" s="40"/>
      <c r="L49" s="40"/>
      <c r="M49" s="40"/>
      <c r="N49" s="40"/>
      <c r="O49" s="41"/>
      <c r="P49" s="41"/>
      <c r="Q49" s="41"/>
      <c r="R49" s="41"/>
      <c r="S49" s="41"/>
      <c r="T49" s="41"/>
      <c r="U49" s="41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38"/>
      <c r="C50" s="257" t="s">
        <v>82</v>
      </c>
      <c r="D50" s="258" t="s">
        <v>73</v>
      </c>
      <c r="E50" s="258" t="s">
        <v>74</v>
      </c>
      <c r="F50" s="258" t="s">
        <v>91</v>
      </c>
      <c r="G50" s="258" t="s">
        <v>93</v>
      </c>
      <c r="H50" s="259"/>
      <c r="I50" s="5"/>
      <c r="J50" s="258" t="s">
        <v>73</v>
      </c>
      <c r="K50" s="258" t="s">
        <v>74</v>
      </c>
      <c r="L50" s="258" t="s">
        <v>91</v>
      </c>
      <c r="M50" s="258" t="s">
        <v>94</v>
      </c>
      <c r="N50" s="5"/>
      <c r="O50" s="5"/>
      <c r="P50" s="258" t="s">
        <v>73</v>
      </c>
      <c r="Q50" s="258" t="s">
        <v>74</v>
      </c>
      <c r="R50" s="258" t="s">
        <v>91</v>
      </c>
      <c r="S50" s="258" t="s">
        <v>94</v>
      </c>
      <c r="T50" s="5"/>
      <c r="U50" s="5"/>
      <c r="V50" s="258" t="s">
        <v>95</v>
      </c>
      <c r="W50" s="258" t="s">
        <v>74</v>
      </c>
      <c r="X50" s="258" t="s">
        <v>91</v>
      </c>
      <c r="Y50" s="258" t="s">
        <v>94</v>
      </c>
      <c r="Z50" s="5"/>
      <c r="AA50" s="5"/>
      <c r="AB50" s="5"/>
      <c r="AC50" s="5"/>
      <c r="AD50" s="2"/>
    </row>
    <row r="51" spans="1:30" x14ac:dyDescent="0.25">
      <c r="A51" s="2"/>
      <c r="B51" s="38"/>
      <c r="C51" s="95" t="s">
        <v>70</v>
      </c>
      <c r="D51" s="260">
        <f>SUM(D52:D55)</f>
        <v>6696.3</v>
      </c>
      <c r="E51" s="260">
        <f t="shared" ref="E51:F51" si="27">SUM(E52:E55)</f>
        <v>5243.7000000000007</v>
      </c>
      <c r="F51" s="260">
        <f t="shared" si="27"/>
        <v>5869.4</v>
      </c>
      <c r="G51" s="261">
        <f>D51+E51-F51</f>
        <v>6070.6</v>
      </c>
      <c r="H51" s="259"/>
      <c r="I51" s="5"/>
      <c r="J51" s="261">
        <f>SUM(J52:J55)</f>
        <v>2819.8</v>
      </c>
      <c r="K51" s="261">
        <f>SUM(K52:K55)</f>
        <v>1671</v>
      </c>
      <c r="L51" s="261">
        <f t="shared" ref="L51" si="28">SUM(L52:L55)</f>
        <v>805</v>
      </c>
      <c r="M51" s="261">
        <f>SUM(M52:M55)</f>
        <v>3685.8</v>
      </c>
      <c r="N51" s="5"/>
      <c r="O51" s="5"/>
      <c r="P51" s="260">
        <f>SUM(P52:P55)</f>
        <v>6070.6</v>
      </c>
      <c r="Q51" s="260">
        <f t="shared" ref="Q51:R51" si="29">SUM(Q52:Q55)</f>
        <v>876</v>
      </c>
      <c r="R51" s="260">
        <f t="shared" si="29"/>
        <v>3543</v>
      </c>
      <c r="S51" s="260">
        <f>SUM(S52:S55)</f>
        <v>3403.6000000000004</v>
      </c>
      <c r="T51" s="5"/>
      <c r="U51" s="5"/>
      <c r="V51" s="260">
        <f>SUM(V52:V55)</f>
        <v>3075</v>
      </c>
      <c r="W51" s="260">
        <f t="shared" ref="W51:X51" si="30">SUM(W52:W55)</f>
        <v>2103.3000000000002</v>
      </c>
      <c r="X51" s="260">
        <f t="shared" si="30"/>
        <v>1100</v>
      </c>
      <c r="Y51" s="261">
        <f>V51+W51-X51</f>
        <v>4078.3</v>
      </c>
      <c r="Z51" s="5"/>
      <c r="AA51" s="5"/>
      <c r="AB51" s="5"/>
      <c r="AC51" s="5"/>
      <c r="AD51" s="2"/>
    </row>
    <row r="52" spans="1:30" x14ac:dyDescent="0.25">
      <c r="A52" s="2"/>
      <c r="B52" s="38"/>
      <c r="C52" s="95" t="s">
        <v>71</v>
      </c>
      <c r="D52" s="260">
        <v>5661.6</v>
      </c>
      <c r="E52" s="260">
        <v>3912.8</v>
      </c>
      <c r="F52" s="260">
        <v>4440.8999999999996</v>
      </c>
      <c r="G52" s="261">
        <f>D52+E52-F52</f>
        <v>5133.5000000000018</v>
      </c>
      <c r="H52" s="259"/>
      <c r="I52" s="5"/>
      <c r="J52" s="261">
        <v>1539.8</v>
      </c>
      <c r="K52" s="260">
        <v>300</v>
      </c>
      <c r="L52" s="260">
        <v>400</v>
      </c>
      <c r="M52" s="261">
        <f>J52+K52-L52</f>
        <v>1439.8</v>
      </c>
      <c r="N52" s="5"/>
      <c r="O52" s="5"/>
      <c r="P52" s="260">
        <v>5133.5</v>
      </c>
      <c r="Q52" s="260">
        <v>227.3</v>
      </c>
      <c r="R52" s="260">
        <v>3109.5</v>
      </c>
      <c r="S52" s="261">
        <f>P52+Q52-R52</f>
        <v>2251.3000000000002</v>
      </c>
      <c r="T52" s="5"/>
      <c r="U52" s="5"/>
      <c r="V52" s="260">
        <v>1200</v>
      </c>
      <c r="W52" s="260">
        <f>630+48</f>
        <v>678</v>
      </c>
      <c r="X52" s="260">
        <f>667+29</f>
        <v>696</v>
      </c>
      <c r="Y52" s="261">
        <f>V52+W52-X52</f>
        <v>1182</v>
      </c>
      <c r="Z52" s="5"/>
      <c r="AA52" s="5"/>
      <c r="AB52" s="5"/>
      <c r="AC52" s="5"/>
      <c r="AD52" s="2"/>
    </row>
    <row r="53" spans="1:30" x14ac:dyDescent="0.25">
      <c r="A53" s="2"/>
      <c r="B53" s="38"/>
      <c r="C53" s="95" t="s">
        <v>72</v>
      </c>
      <c r="D53" s="260">
        <v>539.1</v>
      </c>
      <c r="E53" s="260">
        <v>951.1</v>
      </c>
      <c r="F53" s="260">
        <v>846.7</v>
      </c>
      <c r="G53" s="261">
        <f t="shared" ref="G53:G55" si="31">D53+E53-F53</f>
        <v>643.5</v>
      </c>
      <c r="H53" s="259"/>
      <c r="I53" s="5"/>
      <c r="J53" s="261">
        <v>1000</v>
      </c>
      <c r="K53" s="260">
        <v>996</v>
      </c>
      <c r="L53" s="260">
        <v>100</v>
      </c>
      <c r="M53" s="261">
        <f t="shared" ref="M53:M55" si="32">J53+K53-L53</f>
        <v>1896</v>
      </c>
      <c r="N53" s="5"/>
      <c r="O53" s="5"/>
      <c r="P53" s="260">
        <v>643.5</v>
      </c>
      <c r="Q53" s="260">
        <v>461.4</v>
      </c>
      <c r="R53" s="260">
        <v>321</v>
      </c>
      <c r="S53" s="261">
        <f t="shared" ref="S53:S55" si="33">P53+Q53-R53</f>
        <v>783.90000000000009</v>
      </c>
      <c r="T53" s="5"/>
      <c r="U53" s="5"/>
      <c r="V53" s="260">
        <v>1566</v>
      </c>
      <c r="W53" s="260">
        <v>948</v>
      </c>
      <c r="X53" s="260">
        <v>0</v>
      </c>
      <c r="Y53" s="261">
        <f t="shared" ref="Y53:Y55" si="34">V53+W53-X53</f>
        <v>2514</v>
      </c>
      <c r="Z53" s="5"/>
      <c r="AA53" s="5"/>
      <c r="AB53" s="5"/>
      <c r="AC53" s="5"/>
      <c r="AD53" s="2"/>
    </row>
    <row r="54" spans="1:30" x14ac:dyDescent="0.25">
      <c r="A54" s="2"/>
      <c r="B54" s="38"/>
      <c r="C54" s="95" t="s">
        <v>88</v>
      </c>
      <c r="D54" s="260">
        <v>177.7</v>
      </c>
      <c r="E54" s="260">
        <v>27.1</v>
      </c>
      <c r="F54" s="260">
        <v>1.7</v>
      </c>
      <c r="G54" s="261">
        <f t="shared" si="31"/>
        <v>203.1</v>
      </c>
      <c r="H54" s="259"/>
      <c r="I54" s="5"/>
      <c r="J54" s="261">
        <v>200</v>
      </c>
      <c r="K54" s="260">
        <v>25</v>
      </c>
      <c r="L54" s="260">
        <v>5</v>
      </c>
      <c r="M54" s="261">
        <f t="shared" si="32"/>
        <v>220</v>
      </c>
      <c r="N54" s="5"/>
      <c r="O54" s="5"/>
      <c r="P54" s="260">
        <v>203.1</v>
      </c>
      <c r="Q54" s="260">
        <v>5</v>
      </c>
      <c r="R54" s="260">
        <v>0</v>
      </c>
      <c r="S54" s="261">
        <f t="shared" si="33"/>
        <v>208.1</v>
      </c>
      <c r="T54" s="5"/>
      <c r="U54" s="5"/>
      <c r="V54" s="260">
        <v>208</v>
      </c>
      <c r="W54" s="260">
        <v>10</v>
      </c>
      <c r="X54" s="260">
        <v>6</v>
      </c>
      <c r="Y54" s="261">
        <f t="shared" si="34"/>
        <v>212</v>
      </c>
      <c r="Z54" s="5"/>
      <c r="AA54" s="5"/>
      <c r="AB54" s="5"/>
      <c r="AC54" s="5"/>
      <c r="AD54" s="2"/>
    </row>
    <row r="55" spans="1:30" x14ac:dyDescent="0.25">
      <c r="A55" s="2"/>
      <c r="B55" s="38"/>
      <c r="C55" s="95" t="s">
        <v>89</v>
      </c>
      <c r="D55" s="260">
        <v>317.89999999999998</v>
      </c>
      <c r="E55" s="260">
        <v>352.7</v>
      </c>
      <c r="F55" s="260">
        <v>580.1</v>
      </c>
      <c r="G55" s="261">
        <f t="shared" si="31"/>
        <v>90.499999999999886</v>
      </c>
      <c r="H55" s="259"/>
      <c r="I55" s="5"/>
      <c r="J55" s="261">
        <v>80</v>
      </c>
      <c r="K55" s="260">
        <v>350</v>
      </c>
      <c r="L55" s="260">
        <v>300</v>
      </c>
      <c r="M55" s="261">
        <f t="shared" si="32"/>
        <v>130</v>
      </c>
      <c r="N55" s="5"/>
      <c r="O55" s="5"/>
      <c r="P55" s="260">
        <v>90.5</v>
      </c>
      <c r="Q55" s="260">
        <v>182.3</v>
      </c>
      <c r="R55" s="260">
        <v>112.5</v>
      </c>
      <c r="S55" s="261">
        <f t="shared" si="33"/>
        <v>160.30000000000001</v>
      </c>
      <c r="T55" s="5"/>
      <c r="U55" s="5"/>
      <c r="V55" s="260">
        <v>101</v>
      </c>
      <c r="W55" s="260">
        <f>6.6+10.3+295.4+155</f>
        <v>467.29999999999995</v>
      </c>
      <c r="X55" s="260">
        <v>398</v>
      </c>
      <c r="Y55" s="261">
        <f t="shared" si="34"/>
        <v>170.29999999999995</v>
      </c>
      <c r="Z55" s="5"/>
      <c r="AA55" s="5"/>
      <c r="AB55" s="5"/>
      <c r="AC55" s="5"/>
      <c r="AD55" s="2"/>
    </row>
    <row r="56" spans="1:30" ht="10.5" customHeight="1" x14ac:dyDescent="0.25">
      <c r="A56" s="2"/>
      <c r="B56" s="38"/>
      <c r="C56" s="262"/>
      <c r="D56" s="259"/>
      <c r="E56" s="259"/>
      <c r="F56" s="259"/>
      <c r="G56" s="259"/>
      <c r="H56" s="25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2"/>
    </row>
    <row r="57" spans="1:30" x14ac:dyDescent="0.25">
      <c r="A57" s="2"/>
      <c r="B57" s="38"/>
      <c r="C57" s="257" t="s">
        <v>75</v>
      </c>
      <c r="D57" s="258" t="s">
        <v>76</v>
      </c>
      <c r="E57" s="258" t="s">
        <v>96</v>
      </c>
      <c r="F57" s="259"/>
      <c r="G57" s="259"/>
      <c r="H57" s="259"/>
      <c r="I57" s="263"/>
      <c r="J57" s="258" t="s">
        <v>97</v>
      </c>
      <c r="K57" s="259"/>
      <c r="L57" s="259"/>
      <c r="M57" s="259"/>
      <c r="N57" s="259"/>
      <c r="O57" s="263"/>
      <c r="P57" s="258" t="s">
        <v>98</v>
      </c>
      <c r="Q57" s="263"/>
      <c r="R57" s="263"/>
      <c r="S57" s="5"/>
      <c r="T57" s="5"/>
      <c r="U57" s="5"/>
      <c r="V57" s="363" t="s">
        <v>75</v>
      </c>
      <c r="W57" s="363"/>
      <c r="X57" s="363"/>
      <c r="Y57" s="258" t="s">
        <v>97</v>
      </c>
      <c r="Z57" s="5"/>
      <c r="AA57" s="5"/>
      <c r="AB57" s="5"/>
      <c r="AC57" s="5"/>
      <c r="AD57" s="2"/>
    </row>
    <row r="58" spans="1:30" x14ac:dyDescent="0.25">
      <c r="A58" s="2"/>
      <c r="B58" s="38"/>
      <c r="C58" s="264" t="s">
        <v>137</v>
      </c>
      <c r="D58" s="265">
        <v>68.8</v>
      </c>
      <c r="E58" s="265">
        <v>70.8</v>
      </c>
      <c r="F58" s="259"/>
      <c r="G58" s="259"/>
      <c r="H58" s="259"/>
      <c r="I58" s="263"/>
      <c r="J58" s="266">
        <v>70.7</v>
      </c>
      <c r="K58" s="259"/>
      <c r="L58" s="259"/>
      <c r="M58" s="259"/>
      <c r="N58" s="259"/>
      <c r="O58" s="263"/>
      <c r="P58" s="266">
        <v>73.41</v>
      </c>
      <c r="Q58" s="263"/>
      <c r="R58" s="263"/>
      <c r="S58" s="5"/>
      <c r="T58" s="5"/>
      <c r="U58" s="5"/>
      <c r="V58" s="290" t="s">
        <v>137</v>
      </c>
      <c r="W58" s="290"/>
      <c r="X58" s="290"/>
      <c r="Y58" s="266">
        <v>72.5</v>
      </c>
      <c r="Z58" s="5"/>
      <c r="AA58" s="5"/>
      <c r="AB58" s="5"/>
      <c r="AC58" s="5"/>
      <c r="AD58" s="2"/>
    </row>
    <row r="59" spans="1:30" x14ac:dyDescent="0.25">
      <c r="A59" s="2"/>
      <c r="B59" s="38"/>
      <c r="C59" s="267"/>
      <c r="D59" s="268"/>
      <c r="E59" s="268"/>
      <c r="F59" s="259"/>
      <c r="G59" s="259"/>
      <c r="H59" s="259"/>
      <c r="I59" s="263"/>
      <c r="J59" s="269"/>
      <c r="K59" s="259"/>
      <c r="L59" s="259"/>
      <c r="M59" s="259"/>
      <c r="N59" s="259"/>
      <c r="O59" s="263"/>
      <c r="P59" s="269"/>
      <c r="Q59" s="263"/>
      <c r="R59" s="263"/>
      <c r="S59" s="5"/>
      <c r="T59" s="5"/>
      <c r="U59" s="5"/>
      <c r="V59" s="290" t="s">
        <v>141</v>
      </c>
      <c r="W59" s="290"/>
      <c r="X59" s="290"/>
      <c r="Y59" s="266">
        <v>19.2</v>
      </c>
      <c r="Z59" s="5"/>
      <c r="AA59" s="5"/>
      <c r="AB59" s="5"/>
      <c r="AC59" s="5"/>
      <c r="AD59" s="2"/>
    </row>
    <row r="60" spans="1:30" s="2" customFormat="1" x14ac:dyDescent="0.25">
      <c r="B60" s="38"/>
      <c r="C60" s="262"/>
      <c r="D60" s="269"/>
      <c r="E60" s="269"/>
      <c r="F60" s="259"/>
      <c r="G60" s="259"/>
      <c r="H60" s="259"/>
      <c r="I60" s="263"/>
      <c r="J60" s="269"/>
      <c r="K60" s="259"/>
      <c r="L60" s="259"/>
      <c r="M60" s="259"/>
      <c r="N60" s="259"/>
      <c r="O60" s="263"/>
      <c r="P60" s="269"/>
      <c r="Q60" s="263"/>
      <c r="R60" s="263"/>
      <c r="S60" s="263"/>
      <c r="T60" s="263"/>
      <c r="U60" s="263"/>
      <c r="V60" s="269"/>
      <c r="W60" s="5"/>
      <c r="X60" s="5"/>
      <c r="Y60" s="5"/>
      <c r="Z60" s="5"/>
      <c r="AA60" s="5"/>
      <c r="AB60" s="5"/>
      <c r="AC60" s="5"/>
    </row>
    <row r="61" spans="1:30" x14ac:dyDescent="0.25">
      <c r="A61" s="2"/>
      <c r="B61" s="38"/>
      <c r="C61" s="262"/>
      <c r="D61" s="355"/>
      <c r="E61" s="355"/>
      <c r="F61" s="259"/>
      <c r="G61" s="259"/>
      <c r="H61" s="259"/>
      <c r="I61" s="263"/>
      <c r="J61" s="270"/>
      <c r="K61" s="259"/>
      <c r="L61" s="259"/>
      <c r="M61" s="259"/>
      <c r="N61" s="259"/>
      <c r="O61" s="263"/>
      <c r="P61" s="270"/>
      <c r="Q61" s="263"/>
      <c r="R61" s="263"/>
      <c r="S61" s="263"/>
      <c r="T61" s="263"/>
      <c r="U61" s="263"/>
      <c r="V61" s="364" t="s">
        <v>142</v>
      </c>
      <c r="W61" s="365"/>
      <c r="X61" s="366"/>
      <c r="Y61" s="266">
        <v>6201.4</v>
      </c>
      <c r="Z61" s="5"/>
      <c r="AA61" s="5"/>
      <c r="AB61" s="5"/>
      <c r="AC61" s="5"/>
      <c r="AD61" s="283">
        <v>6046.4</v>
      </c>
    </row>
    <row r="62" spans="1:30" x14ac:dyDescent="0.25">
      <c r="A62" s="2"/>
      <c r="B62" s="38"/>
      <c r="C62" s="262"/>
      <c r="D62" s="270"/>
      <c r="E62" s="270"/>
      <c r="F62" s="259"/>
      <c r="G62" s="259"/>
      <c r="H62" s="259"/>
      <c r="I62" s="263"/>
      <c r="J62" s="270"/>
      <c r="K62" s="259"/>
      <c r="L62" s="259"/>
      <c r="M62" s="259"/>
      <c r="N62" s="259"/>
      <c r="O62" s="263"/>
      <c r="P62" s="270"/>
      <c r="Q62" s="263"/>
      <c r="R62" s="263"/>
      <c r="S62" s="263"/>
      <c r="T62" s="263"/>
      <c r="U62" s="263"/>
      <c r="V62" s="367" t="s">
        <v>158</v>
      </c>
      <c r="W62" s="367"/>
      <c r="X62" s="367"/>
      <c r="Y62" s="95">
        <v>1030.8</v>
      </c>
      <c r="Z62" s="5"/>
      <c r="AA62" s="5"/>
      <c r="AB62" s="5"/>
      <c r="AC62" s="5"/>
      <c r="AD62" s="284"/>
    </row>
    <row r="63" spans="1:30" x14ac:dyDescent="0.25">
      <c r="A63" s="2"/>
      <c r="B63" s="38"/>
      <c r="C63" s="262"/>
      <c r="D63" s="270"/>
      <c r="E63" s="270"/>
      <c r="F63" s="259"/>
      <c r="G63" s="259"/>
      <c r="H63" s="259"/>
      <c r="I63" s="263"/>
      <c r="J63" s="270"/>
      <c r="K63" s="259"/>
      <c r="L63" s="259"/>
      <c r="M63" s="259"/>
      <c r="N63" s="259"/>
      <c r="O63" s="263"/>
      <c r="P63" s="270"/>
      <c r="Q63" s="263"/>
      <c r="R63" s="263"/>
      <c r="S63" s="263"/>
      <c r="T63" s="263"/>
      <c r="U63" s="263"/>
      <c r="V63" s="368" t="s">
        <v>157</v>
      </c>
      <c r="W63" s="368"/>
      <c r="X63" s="368"/>
      <c r="Y63" s="266">
        <v>130.30000000000001</v>
      </c>
      <c r="Z63" s="5"/>
      <c r="AA63" s="5"/>
      <c r="AB63" s="5"/>
      <c r="AC63" s="5"/>
      <c r="AD63" s="284"/>
    </row>
    <row r="64" spans="1:30" x14ac:dyDescent="0.25">
      <c r="A64" s="2"/>
      <c r="B64" s="38"/>
      <c r="C64" s="262"/>
      <c r="D64" s="270"/>
      <c r="E64" s="270"/>
      <c r="F64" s="259"/>
      <c r="G64" s="259"/>
      <c r="H64" s="259"/>
      <c r="I64" s="263"/>
      <c r="J64" s="270"/>
      <c r="K64" s="259"/>
      <c r="L64" s="259"/>
      <c r="M64" s="259"/>
      <c r="N64" s="259"/>
      <c r="O64" s="263"/>
      <c r="P64" s="270"/>
      <c r="Q64" s="263"/>
      <c r="R64" s="263"/>
      <c r="S64" s="263"/>
      <c r="T64" s="263"/>
      <c r="U64" s="263"/>
      <c r="V64" s="269"/>
      <c r="W64" s="5"/>
      <c r="X64" s="5"/>
      <c r="Y64" s="259">
        <f>SUM(Y61:Y63)</f>
        <v>7362.5</v>
      </c>
      <c r="Z64" s="5"/>
      <c r="AA64" s="5"/>
      <c r="AB64" s="5"/>
      <c r="AC64" s="5"/>
      <c r="AD64" s="284"/>
    </row>
    <row r="65" spans="1:30" s="2" customFormat="1" x14ac:dyDescent="0.25">
      <c r="B65" s="38"/>
      <c r="C65" s="262"/>
      <c r="D65" s="270"/>
      <c r="E65" s="270"/>
      <c r="F65" s="259"/>
      <c r="G65" s="259"/>
      <c r="H65" s="259"/>
      <c r="I65" s="263"/>
      <c r="J65" s="270"/>
      <c r="K65" s="259"/>
      <c r="L65" s="259"/>
      <c r="M65" s="259"/>
      <c r="N65" s="259"/>
      <c r="O65" s="263"/>
      <c r="P65" s="270"/>
      <c r="Q65" s="263"/>
      <c r="R65" s="263"/>
      <c r="S65" s="263"/>
      <c r="T65" s="263"/>
      <c r="U65" s="263"/>
      <c r="V65" s="269"/>
      <c r="W65" s="5"/>
      <c r="X65" s="5"/>
      <c r="Y65" s="5"/>
      <c r="Z65" s="5"/>
      <c r="AA65" s="5"/>
      <c r="AB65" s="5"/>
      <c r="AC65" s="5"/>
    </row>
    <row r="66" spans="1:30" x14ac:dyDescent="0.25">
      <c r="A66" s="2"/>
      <c r="B66" s="38"/>
      <c r="C66" s="5"/>
      <c r="D66" s="5"/>
      <c r="E66" s="5"/>
      <c r="F66" s="271"/>
      <c r="G66" s="259"/>
      <c r="H66" s="259"/>
      <c r="I66" s="263"/>
      <c r="J66" s="270"/>
      <c r="K66" s="270"/>
      <c r="L66" s="5"/>
      <c r="M66" s="272"/>
      <c r="N66" s="5"/>
      <c r="O66" s="5"/>
      <c r="P66" s="5"/>
      <c r="Q66" s="271"/>
      <c r="R66" s="5"/>
      <c r="S66" s="5"/>
      <c r="T66" s="5"/>
      <c r="U66" s="322" t="s">
        <v>143</v>
      </c>
      <c r="V66" s="322"/>
      <c r="W66" s="322"/>
      <c r="X66" s="322"/>
      <c r="Y66" s="273" t="s">
        <v>140</v>
      </c>
      <c r="Z66" s="5"/>
      <c r="AA66" s="5" t="s">
        <v>156</v>
      </c>
      <c r="AB66" s="5"/>
      <c r="AC66" s="5"/>
    </row>
    <row r="67" spans="1:30" x14ac:dyDescent="0.25">
      <c r="A67" s="2"/>
      <c r="B67" s="38"/>
      <c r="C67" s="5"/>
      <c r="D67" s="5"/>
      <c r="E67" s="5"/>
      <c r="F67" s="259"/>
      <c r="G67" s="259"/>
      <c r="H67" s="259"/>
      <c r="I67" s="263"/>
      <c r="J67" s="270"/>
      <c r="K67" s="270"/>
      <c r="L67" s="5"/>
      <c r="M67" s="272"/>
      <c r="N67" s="5"/>
      <c r="O67" s="5"/>
      <c r="P67" s="5"/>
      <c r="Q67" s="259"/>
      <c r="R67" s="5"/>
      <c r="S67" s="5"/>
      <c r="T67" s="5"/>
      <c r="U67" s="290" t="s">
        <v>126</v>
      </c>
      <c r="V67" s="290"/>
      <c r="W67" s="290"/>
      <c r="X67" s="290"/>
      <c r="Y67" s="287">
        <f>6046.4</f>
        <v>6046.4</v>
      </c>
      <c r="Z67" s="5"/>
      <c r="AA67" s="274" t="s">
        <v>144</v>
      </c>
      <c r="AB67" s="275">
        <v>284.89999999999998</v>
      </c>
      <c r="AC67" s="5"/>
    </row>
    <row r="68" spans="1:30" x14ac:dyDescent="0.25">
      <c r="A68" s="2"/>
      <c r="B68" s="38"/>
      <c r="C68" s="5"/>
      <c r="D68" s="5"/>
      <c r="E68" s="5"/>
      <c r="F68" s="259"/>
      <c r="G68" s="259"/>
      <c r="H68" s="259"/>
      <c r="I68" s="263"/>
      <c r="J68" s="270"/>
      <c r="K68" s="270"/>
      <c r="L68" s="5"/>
      <c r="M68" s="272"/>
      <c r="N68" s="5"/>
      <c r="O68" s="5"/>
      <c r="P68" s="5"/>
      <c r="Q68" s="259"/>
      <c r="R68" s="5"/>
      <c r="S68" s="5"/>
      <c r="T68" s="5"/>
      <c r="U68" s="290" t="s">
        <v>127</v>
      </c>
      <c r="V68" s="290"/>
      <c r="W68" s="290"/>
      <c r="X68" s="290"/>
      <c r="Y68" s="287">
        <v>2294.4</v>
      </c>
      <c r="Z68" s="5"/>
      <c r="AA68" s="274" t="s">
        <v>139</v>
      </c>
      <c r="AB68" s="275">
        <v>80.400000000000006</v>
      </c>
      <c r="AC68" s="5"/>
    </row>
    <row r="69" spans="1:30" x14ac:dyDescent="0.25">
      <c r="A69" s="2"/>
      <c r="B69" s="38"/>
      <c r="C69" s="5"/>
      <c r="D69" s="5"/>
      <c r="E69" s="5"/>
      <c r="F69" s="259"/>
      <c r="G69" s="259"/>
      <c r="H69" s="259"/>
      <c r="I69" s="263"/>
      <c r="J69" s="270"/>
      <c r="K69" s="270"/>
      <c r="L69" s="5"/>
      <c r="M69" s="272"/>
      <c r="N69" s="5"/>
      <c r="O69" s="5"/>
      <c r="P69" s="5"/>
      <c r="Q69" s="259"/>
      <c r="R69" s="5"/>
      <c r="S69" s="5"/>
      <c r="T69" s="5"/>
      <c r="U69" s="290" t="s">
        <v>128</v>
      </c>
      <c r="V69" s="290"/>
      <c r="W69" s="290"/>
      <c r="X69" s="290"/>
      <c r="Y69" s="287">
        <v>155</v>
      </c>
      <c r="Z69" s="5"/>
      <c r="AA69" s="274" t="s">
        <v>138</v>
      </c>
      <c r="AB69" s="275">
        <f>1005.2</f>
        <v>1005.2</v>
      </c>
      <c r="AC69" s="5"/>
    </row>
    <row r="70" spans="1:30" x14ac:dyDescent="0.25">
      <c r="A70" s="2"/>
      <c r="B70" s="2"/>
      <c r="C70" s="5"/>
      <c r="D70" s="5"/>
      <c r="E70" s="5"/>
      <c r="F70" s="5"/>
      <c r="G70" s="5"/>
      <c r="H70" s="5"/>
      <c r="I70" s="5"/>
      <c r="J70" s="5"/>
      <c r="K70" s="5"/>
      <c r="L70" s="5"/>
      <c r="M70" s="272"/>
      <c r="N70" s="5"/>
      <c r="O70" s="5"/>
      <c r="P70" s="5"/>
      <c r="Q70" s="5"/>
      <c r="R70" s="5"/>
      <c r="S70" s="5"/>
      <c r="T70" s="5"/>
      <c r="U70" s="290" t="s">
        <v>130</v>
      </c>
      <c r="V70" s="290"/>
      <c r="W70" s="290"/>
      <c r="X70" s="290"/>
      <c r="Y70" s="287">
        <v>60.5</v>
      </c>
      <c r="Z70" s="5"/>
      <c r="AA70" s="5"/>
      <c r="AB70" s="5"/>
      <c r="AC70" s="5"/>
    </row>
    <row r="71" spans="1:30" x14ac:dyDescent="0.25">
      <c r="A71" s="2"/>
      <c r="B71" s="38"/>
      <c r="C71" s="5"/>
      <c r="D71" s="5"/>
      <c r="E71" s="5"/>
      <c r="F71" s="259"/>
      <c r="G71" s="259"/>
      <c r="H71" s="259"/>
      <c r="I71" s="263"/>
      <c r="J71" s="276"/>
      <c r="K71" s="276"/>
      <c r="L71" s="5"/>
      <c r="M71" s="272"/>
      <c r="N71" s="5"/>
      <c r="O71" s="5"/>
      <c r="P71" s="5"/>
      <c r="Q71" s="259"/>
      <c r="R71" s="5"/>
      <c r="S71" s="5"/>
      <c r="T71" s="5"/>
      <c r="U71" s="290" t="s">
        <v>129</v>
      </c>
      <c r="V71" s="290"/>
      <c r="W71" s="290"/>
      <c r="X71" s="290"/>
      <c r="Y71" s="288">
        <v>690</v>
      </c>
      <c r="Z71" s="5"/>
      <c r="AA71" s="5"/>
      <c r="AB71" s="5"/>
      <c r="AC71" s="5"/>
    </row>
    <row r="72" spans="1:30" x14ac:dyDescent="0.25">
      <c r="A72" s="2"/>
      <c r="B72" s="38"/>
      <c r="C72" s="5"/>
      <c r="D72" s="5"/>
      <c r="E72" s="5"/>
      <c r="F72" s="259"/>
      <c r="G72" s="259"/>
      <c r="H72" s="259"/>
      <c r="I72" s="263"/>
      <c r="J72" s="270"/>
      <c r="K72" s="270"/>
      <c r="L72" s="5"/>
      <c r="M72" s="272"/>
      <c r="N72" s="5"/>
      <c r="O72" s="5"/>
      <c r="P72" s="5"/>
      <c r="Q72" s="259"/>
      <c r="R72" s="5"/>
      <c r="S72" s="5"/>
      <c r="T72" s="5"/>
      <c r="U72" s="289" t="s">
        <v>134</v>
      </c>
      <c r="V72" s="289"/>
      <c r="W72" s="289"/>
      <c r="X72" s="289"/>
      <c r="Y72" s="287">
        <v>500</v>
      </c>
      <c r="Z72" s="5"/>
      <c r="AA72" s="5"/>
      <c r="AB72" s="5"/>
      <c r="AC72" s="5"/>
    </row>
    <row r="73" spans="1:30" x14ac:dyDescent="0.25">
      <c r="A73" s="2"/>
      <c r="B73" s="38"/>
      <c r="C73" s="5"/>
      <c r="D73" s="5"/>
      <c r="E73" s="5"/>
      <c r="F73" s="259"/>
      <c r="G73" s="259"/>
      <c r="H73" s="259"/>
      <c r="I73" s="263"/>
      <c r="J73" s="270"/>
      <c r="K73" s="270"/>
      <c r="L73" s="5"/>
      <c r="M73" s="272"/>
      <c r="N73" s="5"/>
      <c r="O73" s="5"/>
      <c r="P73" s="5"/>
      <c r="Q73" s="259"/>
      <c r="R73" s="5"/>
      <c r="S73" s="5"/>
      <c r="T73" s="5"/>
      <c r="U73" s="289" t="s">
        <v>131</v>
      </c>
      <c r="V73" s="289"/>
      <c r="W73" s="289"/>
      <c r="X73" s="289"/>
      <c r="Y73" s="287">
        <v>50</v>
      </c>
      <c r="Z73" s="5"/>
      <c r="AA73" s="5"/>
      <c r="AB73" s="5"/>
      <c r="AC73" s="5"/>
    </row>
    <row r="74" spans="1:30" x14ac:dyDescent="0.25">
      <c r="A74" s="2"/>
      <c r="B74" s="38"/>
      <c r="C74" s="5"/>
      <c r="D74" s="5"/>
      <c r="E74" s="5"/>
      <c r="F74" s="259"/>
      <c r="G74" s="259"/>
      <c r="H74" s="259"/>
      <c r="I74" s="263"/>
      <c r="J74" s="270"/>
      <c r="K74" s="270"/>
      <c r="L74" s="5"/>
      <c r="M74" s="272"/>
      <c r="N74" s="5"/>
      <c r="O74" s="5"/>
      <c r="P74" s="5"/>
      <c r="Q74" s="259"/>
      <c r="R74" s="5"/>
      <c r="S74" s="5"/>
      <c r="T74" s="5"/>
      <c r="U74" s="289" t="s">
        <v>132</v>
      </c>
      <c r="V74" s="289"/>
      <c r="W74" s="289"/>
      <c r="X74" s="289"/>
      <c r="Y74" s="287">
        <v>90</v>
      </c>
      <c r="Z74" s="5"/>
      <c r="AA74" s="5"/>
      <c r="AB74" s="5"/>
      <c r="AC74" s="5"/>
    </row>
    <row r="75" spans="1:30" x14ac:dyDescent="0.25">
      <c r="A75" s="2"/>
      <c r="B75" s="38"/>
      <c r="C75" s="5"/>
      <c r="D75" s="5"/>
      <c r="E75" s="5"/>
      <c r="F75" s="259"/>
      <c r="G75" s="259"/>
      <c r="H75" s="259"/>
      <c r="I75" s="263"/>
      <c r="J75" s="270"/>
      <c r="K75" s="270"/>
      <c r="L75" s="5"/>
      <c r="M75" s="272"/>
      <c r="N75" s="5"/>
      <c r="O75" s="5"/>
      <c r="P75" s="5"/>
      <c r="Q75" s="259"/>
      <c r="R75" s="5"/>
      <c r="S75" s="5"/>
      <c r="T75" s="5"/>
      <c r="U75" s="289" t="s">
        <v>133</v>
      </c>
      <c r="V75" s="289"/>
      <c r="W75" s="289"/>
      <c r="X75" s="289"/>
      <c r="Y75" s="287">
        <v>50</v>
      </c>
      <c r="Z75" s="5"/>
      <c r="AA75" s="5"/>
      <c r="AB75" s="5"/>
      <c r="AC75" s="5"/>
    </row>
    <row r="76" spans="1:30" x14ac:dyDescent="0.25">
      <c r="A76" s="2"/>
      <c r="B76" s="38"/>
      <c r="C76" s="201"/>
      <c r="D76" s="40"/>
      <c r="E76" s="40"/>
      <c r="F76" s="40"/>
      <c r="G76" s="40"/>
      <c r="H76" s="40"/>
      <c r="I76" s="41"/>
      <c r="J76" s="40"/>
      <c r="K76" s="40"/>
      <c r="L76" s="2"/>
      <c r="M76" s="3"/>
      <c r="N76" s="2"/>
      <c r="O76" s="2"/>
      <c r="P76" s="2"/>
      <c r="Q76" s="202"/>
      <c r="R76" s="2"/>
      <c r="S76" s="2"/>
      <c r="T76" s="2"/>
      <c r="U76" s="41"/>
      <c r="V76" s="41"/>
      <c r="W76" s="41"/>
      <c r="X76" s="40"/>
      <c r="Y76" s="40">
        <f>SUM(Y67:Y71)</f>
        <v>9246.2999999999993</v>
      </c>
      <c r="Z76" s="2"/>
      <c r="AA76" s="2"/>
      <c r="AB76" s="2"/>
      <c r="AC76" s="2"/>
    </row>
    <row r="77" spans="1:30" x14ac:dyDescent="0.25">
      <c r="A77" s="2"/>
      <c r="B77" s="38"/>
      <c r="C77" s="39"/>
      <c r="D77" s="40"/>
      <c r="E77" s="40"/>
      <c r="F77" s="40"/>
      <c r="G77" s="40"/>
      <c r="H77" s="40"/>
      <c r="I77" s="41"/>
      <c r="J77" s="40"/>
      <c r="K77" s="40"/>
      <c r="L77" s="40"/>
      <c r="M77" s="40"/>
      <c r="N77" s="40"/>
      <c r="O77" s="41"/>
      <c r="P77" s="40"/>
      <c r="Q77" s="40"/>
      <c r="R77" s="40"/>
      <c r="S77" s="41"/>
      <c r="T77" s="41"/>
      <c r="U77" s="41"/>
      <c r="V77" s="40"/>
      <c r="W77" s="40"/>
      <c r="X77" s="40"/>
      <c r="Y77" s="2"/>
      <c r="Z77" s="2"/>
      <c r="AA77" s="2"/>
      <c r="AB77" s="2"/>
      <c r="AC77" s="2"/>
      <c r="AD77" s="2"/>
    </row>
    <row r="78" spans="1:30" x14ac:dyDescent="0.25">
      <c r="A78" s="2"/>
      <c r="B78" s="67" t="s">
        <v>92</v>
      </c>
      <c r="C78" s="66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113"/>
      <c r="W78" s="113"/>
      <c r="X78" s="113"/>
      <c r="Y78" s="113"/>
      <c r="Z78" s="113"/>
      <c r="AA78" s="113"/>
      <c r="AB78" s="114"/>
      <c r="AC78" s="2"/>
      <c r="AD78" s="2"/>
    </row>
    <row r="79" spans="1:30" ht="15.75" x14ac:dyDescent="0.25">
      <c r="A79" s="2"/>
      <c r="B79" s="243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AB79" s="88"/>
      <c r="AC79" s="2"/>
      <c r="AD79" s="2"/>
    </row>
    <row r="80" spans="1:30" ht="18.75" x14ac:dyDescent="0.3">
      <c r="A80" s="2"/>
      <c r="B80" s="291" t="s">
        <v>161</v>
      </c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AB80" s="88"/>
      <c r="AC80" s="2"/>
      <c r="AD80" s="2"/>
    </row>
    <row r="81" spans="1:30" ht="18.75" x14ac:dyDescent="0.3">
      <c r="A81" s="2"/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AB81" s="88"/>
      <c r="AC81" s="2"/>
      <c r="AD81" s="2"/>
    </row>
    <row r="82" spans="1:30" ht="18.75" x14ac:dyDescent="0.3">
      <c r="A82" s="2"/>
      <c r="B82" s="245" t="s">
        <v>150</v>
      </c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AB82" s="88"/>
      <c r="AC82" s="2"/>
      <c r="AD82" s="2"/>
    </row>
    <row r="83" spans="1:30" ht="18.75" x14ac:dyDescent="0.3">
      <c r="A83" s="2"/>
      <c r="B83" s="245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AB83" s="88"/>
      <c r="AC83" s="2"/>
      <c r="AD83" s="2"/>
    </row>
    <row r="84" spans="1:30" ht="18.75" x14ac:dyDescent="0.3">
      <c r="A84" s="2"/>
      <c r="B84" s="245"/>
      <c r="C84" s="246" t="s">
        <v>152</v>
      </c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AB84" s="88"/>
      <c r="AC84" s="2"/>
      <c r="AD84" s="2"/>
    </row>
    <row r="85" spans="1:30" ht="18.75" x14ac:dyDescent="0.3">
      <c r="A85" s="2"/>
      <c r="B85" s="245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AB85" s="88"/>
      <c r="AC85" s="2"/>
      <c r="AD85" s="2"/>
    </row>
    <row r="86" spans="1:30" ht="18.75" x14ac:dyDescent="0.3">
      <c r="A86" s="2"/>
      <c r="B86" s="245"/>
      <c r="C86" s="246" t="s">
        <v>153</v>
      </c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AB86" s="88"/>
      <c r="AC86" s="2"/>
      <c r="AD86" s="2"/>
    </row>
    <row r="87" spans="1:30" x14ac:dyDescent="0.25">
      <c r="A87" s="2"/>
      <c r="B87" s="96"/>
      <c r="C87" s="97"/>
      <c r="D87" s="98"/>
      <c r="E87" s="98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15"/>
      <c r="W87" s="115"/>
      <c r="X87" s="115"/>
      <c r="Y87" s="115"/>
      <c r="Z87" s="115"/>
      <c r="AA87" s="115"/>
      <c r="AB87" s="116"/>
      <c r="AC87" s="2"/>
      <c r="AD87" s="2"/>
    </row>
    <row r="88" spans="1:30" x14ac:dyDescent="0.25">
      <c r="A88" s="2"/>
      <c r="B88" s="100"/>
      <c r="C88" s="99"/>
      <c r="D88" s="100"/>
      <c r="E88" s="100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44" t="s">
        <v>81</v>
      </c>
      <c r="C90" s="86">
        <v>45918</v>
      </c>
      <c r="D90" s="44" t="s">
        <v>77</v>
      </c>
      <c r="E90" s="337" t="s">
        <v>147</v>
      </c>
      <c r="F90" s="337"/>
      <c r="G90" s="337"/>
      <c r="H90" s="44"/>
      <c r="I90" s="44" t="s">
        <v>78</v>
      </c>
      <c r="J90" s="338" t="s">
        <v>155</v>
      </c>
      <c r="K90" s="338"/>
      <c r="L90" s="338"/>
      <c r="M90" s="338"/>
      <c r="N90" s="44"/>
      <c r="O90" s="44"/>
      <c r="P90" s="44"/>
      <c r="Q90" s="44"/>
      <c r="R90" s="44"/>
      <c r="S90" s="44"/>
      <c r="T90" s="44"/>
      <c r="U90" s="44"/>
      <c r="V90" s="2"/>
      <c r="W90" s="2"/>
      <c r="X90" s="2"/>
      <c r="Y90" s="2"/>
      <c r="Z90" s="2"/>
      <c r="AA90" s="2"/>
      <c r="AB90" s="2"/>
      <c r="AC90" s="2"/>
      <c r="AD90" s="2"/>
    </row>
    <row r="91" spans="1:30" ht="7.5" customHeight="1" x14ac:dyDescent="0.25">
      <c r="A91" s="2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44"/>
      <c r="C92" s="44"/>
      <c r="D92" s="44" t="s">
        <v>80</v>
      </c>
      <c r="E92" s="46"/>
      <c r="F92" s="46"/>
      <c r="G92" s="46"/>
      <c r="H92" s="44"/>
      <c r="I92" s="44" t="s">
        <v>80</v>
      </c>
      <c r="J92" s="45"/>
      <c r="K92" s="45"/>
      <c r="L92" s="45"/>
      <c r="M92" s="45"/>
      <c r="N92" s="44"/>
      <c r="O92" s="44"/>
      <c r="P92" s="44"/>
      <c r="Q92" s="44"/>
      <c r="R92" s="44"/>
      <c r="S92" s="44"/>
      <c r="T92" s="44"/>
      <c r="U92" s="44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44"/>
      <c r="C93" s="44"/>
      <c r="D93" s="44"/>
      <c r="E93" s="46"/>
      <c r="F93" s="46"/>
      <c r="G93" s="46"/>
      <c r="H93" s="44"/>
      <c r="I93" s="44"/>
      <c r="J93" s="45"/>
      <c r="K93" s="45"/>
      <c r="L93" s="45"/>
      <c r="M93" s="45"/>
      <c r="N93" s="44"/>
      <c r="O93" s="44"/>
      <c r="P93" s="44"/>
      <c r="Q93" s="44"/>
      <c r="R93" s="44"/>
      <c r="S93" s="44"/>
      <c r="T93" s="44"/>
      <c r="U93" s="44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/>
    <row r="97" x14ac:dyDescent="0.25"/>
    <row r="107" x14ac:dyDescent="0.25"/>
    <row r="108" x14ac:dyDescent="0.25"/>
    <row r="109" x14ac:dyDescent="0.25"/>
    <row r="110" x14ac:dyDescent="0.25"/>
    <row r="111" x14ac:dyDescent="0.25"/>
    <row r="112" ht="15" hidden="1" customHeight="1" x14ac:dyDescent="0.25"/>
    <row r="126" ht="15" hidden="1" customHeight="1" x14ac:dyDescent="0.25"/>
    <row r="127" ht="15" hidden="1" customHeight="1" x14ac:dyDescent="0.25"/>
    <row r="128" x14ac:dyDescent="0.25"/>
    <row r="132" x14ac:dyDescent="0.25"/>
    <row r="133" x14ac:dyDescent="0.25"/>
    <row r="134" x14ac:dyDescent="0.25"/>
    <row r="135" x14ac:dyDescent="0.25"/>
  </sheetData>
  <mergeCells count="80">
    <mergeCell ref="V62:X62"/>
    <mergeCell ref="V63:X63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0:G90"/>
    <mergeCell ref="J90:M90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81:U8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80:U80"/>
    <mergeCell ref="D78:U78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66:X66"/>
    <mergeCell ref="U72:X72"/>
    <mergeCell ref="U73:X73"/>
    <mergeCell ref="U74:X74"/>
    <mergeCell ref="U75:X75"/>
    <mergeCell ref="U67:X67"/>
    <mergeCell ref="U68:X68"/>
    <mergeCell ref="U69:X69"/>
    <mergeCell ref="U70:X70"/>
    <mergeCell ref="U71:X71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115"/>
  <sheetViews>
    <sheetView showGridLines="0" tabSelected="1" zoomScale="71" zoomScaleNormal="71" zoomScaleSheetLayoutView="80" workbookViewId="0">
      <selection activeCell="C79" sqref="C7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2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 t="str">
        <f>'NR 2026'!AB1</f>
        <v>verze po 11.9.2025</v>
      </c>
      <c r="S1" s="2"/>
    </row>
    <row r="2" spans="1:21" ht="21" x14ac:dyDescent="0.35">
      <c r="A2" s="2"/>
      <c r="B2" s="4" t="s">
        <v>114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7.5" customHeight="1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ht="21" x14ac:dyDescent="0.35">
      <c r="A4" s="2"/>
      <c r="B4" s="2" t="s">
        <v>43</v>
      </c>
      <c r="C4" s="2"/>
      <c r="D4" s="339" t="s">
        <v>148</v>
      </c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</row>
    <row r="5" spans="1:21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</row>
    <row r="6" spans="1:21" x14ac:dyDescent="0.25">
      <c r="A6" s="2"/>
      <c r="B6" s="2" t="s">
        <v>44</v>
      </c>
      <c r="C6" s="2"/>
      <c r="D6" s="56">
        <v>46789766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</row>
    <row r="7" spans="1:21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</row>
    <row r="8" spans="1:21" x14ac:dyDescent="0.25">
      <c r="A8" s="2"/>
      <c r="B8" s="2" t="s">
        <v>45</v>
      </c>
      <c r="C8" s="2"/>
      <c r="D8" s="340" t="s">
        <v>149</v>
      </c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</row>
    <row r="9" spans="1:21" ht="15.75" thickBot="1" x14ac:dyDescent="0.3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1" ht="29.25" customHeight="1" thickBot="1" x14ac:dyDescent="0.3">
      <c r="A10" s="2"/>
      <c r="B10" s="124" t="s">
        <v>37</v>
      </c>
      <c r="C10" s="123" t="s">
        <v>38</v>
      </c>
      <c r="D10" s="347" t="s">
        <v>115</v>
      </c>
      <c r="E10" s="347"/>
      <c r="F10" s="348"/>
      <c r="G10" s="347" t="s">
        <v>116</v>
      </c>
      <c r="H10" s="347"/>
      <c r="I10" s="389"/>
      <c r="J10" s="386" t="s">
        <v>117</v>
      </c>
      <c r="K10" s="387"/>
      <c r="L10" s="388"/>
      <c r="M10" s="346" t="s">
        <v>110</v>
      </c>
      <c r="N10" s="347"/>
      <c r="O10" s="348"/>
      <c r="P10" s="347" t="s">
        <v>118</v>
      </c>
      <c r="Q10" s="347"/>
      <c r="R10" s="348"/>
      <c r="S10" s="2"/>
    </row>
    <row r="11" spans="1:21" ht="30.75" customHeight="1" thickBot="1" x14ac:dyDescent="0.3">
      <c r="A11" s="2"/>
      <c r="B11" s="121"/>
      <c r="C11" s="122"/>
      <c r="D11" s="117" t="s">
        <v>39</v>
      </c>
      <c r="E11" s="6" t="s">
        <v>40</v>
      </c>
      <c r="F11" s="6" t="s">
        <v>61</v>
      </c>
      <c r="G11" s="117" t="s">
        <v>39</v>
      </c>
      <c r="H11" s="6" t="s">
        <v>40</v>
      </c>
      <c r="I11" s="128" t="s">
        <v>61</v>
      </c>
      <c r="J11" s="128" t="s">
        <v>39</v>
      </c>
      <c r="K11" s="6" t="s">
        <v>40</v>
      </c>
      <c r="L11" s="6" t="s">
        <v>61</v>
      </c>
      <c r="M11" s="131" t="s">
        <v>39</v>
      </c>
      <c r="N11" s="6" t="s">
        <v>40</v>
      </c>
      <c r="O11" s="6" t="s">
        <v>61</v>
      </c>
      <c r="P11" s="117" t="s">
        <v>39</v>
      </c>
      <c r="Q11" s="6" t="s">
        <v>40</v>
      </c>
      <c r="R11" s="6" t="s">
        <v>61</v>
      </c>
      <c r="S11" s="2"/>
    </row>
    <row r="12" spans="1:21" ht="15.75" customHeight="1" thickBot="1" x14ac:dyDescent="0.3">
      <c r="A12" s="2"/>
      <c r="B12" s="143"/>
      <c r="C12" s="144" t="s">
        <v>62</v>
      </c>
      <c r="D12" s="301"/>
      <c r="E12" s="301"/>
      <c r="F12" s="302"/>
      <c r="G12" s="301"/>
      <c r="H12" s="301"/>
      <c r="I12" s="301"/>
      <c r="J12" s="300"/>
      <c r="K12" s="301"/>
      <c r="L12" s="302"/>
      <c r="M12" s="301"/>
      <c r="N12" s="301"/>
      <c r="O12" s="302"/>
      <c r="P12" s="301"/>
      <c r="Q12" s="301"/>
      <c r="R12" s="302"/>
      <c r="S12" s="2"/>
    </row>
    <row r="13" spans="1:21" ht="15.75" customHeight="1" x14ac:dyDescent="0.25">
      <c r="A13" s="2"/>
      <c r="B13" s="323" t="s">
        <v>37</v>
      </c>
      <c r="C13" s="344" t="s">
        <v>38</v>
      </c>
      <c r="D13" s="374" t="s">
        <v>63</v>
      </c>
      <c r="E13" s="307" t="s">
        <v>66</v>
      </c>
      <c r="F13" s="309" t="s">
        <v>62</v>
      </c>
      <c r="G13" s="305" t="s">
        <v>63</v>
      </c>
      <c r="H13" s="307" t="s">
        <v>66</v>
      </c>
      <c r="I13" s="384" t="s">
        <v>62</v>
      </c>
      <c r="J13" s="374" t="s">
        <v>63</v>
      </c>
      <c r="K13" s="307" t="s">
        <v>66</v>
      </c>
      <c r="L13" s="309" t="s">
        <v>62</v>
      </c>
      <c r="M13" s="376" t="s">
        <v>63</v>
      </c>
      <c r="N13" s="307" t="s">
        <v>66</v>
      </c>
      <c r="O13" s="309" t="s">
        <v>62</v>
      </c>
      <c r="P13" s="305" t="s">
        <v>63</v>
      </c>
      <c r="Q13" s="307" t="s">
        <v>66</v>
      </c>
      <c r="R13" s="309" t="s">
        <v>62</v>
      </c>
      <c r="S13" s="2"/>
    </row>
    <row r="14" spans="1:21" ht="15.75" thickBot="1" x14ac:dyDescent="0.3">
      <c r="A14" s="2"/>
      <c r="B14" s="324"/>
      <c r="C14" s="345"/>
      <c r="D14" s="375"/>
      <c r="E14" s="308"/>
      <c r="F14" s="310"/>
      <c r="G14" s="306"/>
      <c r="H14" s="308"/>
      <c r="I14" s="385"/>
      <c r="J14" s="375"/>
      <c r="K14" s="308"/>
      <c r="L14" s="310"/>
      <c r="M14" s="377"/>
      <c r="N14" s="308"/>
      <c r="O14" s="310"/>
      <c r="P14" s="306"/>
      <c r="Q14" s="308"/>
      <c r="R14" s="310"/>
      <c r="S14" s="2"/>
    </row>
    <row r="15" spans="1:21" x14ac:dyDescent="0.25">
      <c r="A15" s="2"/>
      <c r="B15" s="29" t="s">
        <v>0</v>
      </c>
      <c r="C15" s="30" t="s">
        <v>52</v>
      </c>
      <c r="D15" s="210">
        <f>'NR 2026'!G15</f>
        <v>2149.9</v>
      </c>
      <c r="E15" s="227">
        <f>'NR 2026'!H15</f>
        <v>504.7</v>
      </c>
      <c r="F15" s="280">
        <f>D15+E15</f>
        <v>2654.6</v>
      </c>
      <c r="G15" s="210">
        <f>'NR 2026'!M15</f>
        <v>2496</v>
      </c>
      <c r="H15" s="227">
        <f>'NR 2026'!N15</f>
        <v>450</v>
      </c>
      <c r="I15" s="280">
        <f>G15+H15</f>
        <v>2946</v>
      </c>
      <c r="J15" s="137">
        <f>'NR 2026'!Y15</f>
        <v>2150</v>
      </c>
      <c r="K15" s="138">
        <f>'NR 2026'!Z15</f>
        <v>445</v>
      </c>
      <c r="L15" s="139">
        <f>J15+K15</f>
        <v>2595</v>
      </c>
      <c r="M15" s="125">
        <f>J15*1.02</f>
        <v>2193</v>
      </c>
      <c r="N15" s="52">
        <f>K15*1.02</f>
        <v>453.90000000000003</v>
      </c>
      <c r="O15" s="11">
        <f t="shared" ref="O15:O24" si="0">M15+N15</f>
        <v>2646.9</v>
      </c>
      <c r="P15" s="50">
        <f>M15*1.03</f>
        <v>2258.79</v>
      </c>
      <c r="Q15" s="52">
        <f>N15*1.03</f>
        <v>467.51700000000005</v>
      </c>
      <c r="R15" s="11">
        <f t="shared" ref="R15:R24" si="1">P15+Q15</f>
        <v>2726.3069999999998</v>
      </c>
      <c r="S15" s="2"/>
    </row>
    <row r="16" spans="1:21" x14ac:dyDescent="0.25">
      <c r="A16" s="2"/>
      <c r="B16" s="12" t="s">
        <v>1</v>
      </c>
      <c r="C16" s="89" t="s">
        <v>60</v>
      </c>
      <c r="D16" s="210">
        <f>'NR 2026'!G16</f>
        <v>6783.2</v>
      </c>
      <c r="E16" s="227">
        <f>'NR 2026'!H16</f>
        <v>0</v>
      </c>
      <c r="F16" s="280">
        <f t="shared" ref="F16:F21" si="2">D16+E16</f>
        <v>6783.2</v>
      </c>
      <c r="G16" s="210">
        <f>'NR 2026'!M16</f>
        <v>7000</v>
      </c>
      <c r="H16" s="228">
        <f>'NR 2026'!N16</f>
        <v>0</v>
      </c>
      <c r="I16" s="280">
        <f t="shared" ref="I16:I24" si="3">G16+H16</f>
        <v>7000</v>
      </c>
      <c r="J16" s="137">
        <f>'NR 2026'!Y16</f>
        <v>7234</v>
      </c>
      <c r="K16" s="138">
        <f>'NR 2026'!Z16</f>
        <v>0</v>
      </c>
      <c r="L16" s="135">
        <f t="shared" ref="L16:L24" si="4">J16+K16</f>
        <v>7234</v>
      </c>
      <c r="M16" s="125">
        <f t="shared" ref="M16:M24" si="5">J16*1.02</f>
        <v>7378.68</v>
      </c>
      <c r="N16" s="52">
        <f t="shared" ref="N16:N24" si="6">K16*1.02</f>
        <v>0</v>
      </c>
      <c r="O16" s="11">
        <f t="shared" si="0"/>
        <v>7378.68</v>
      </c>
      <c r="P16" s="50">
        <f t="shared" ref="P16:P24" si="7">M16*1.03</f>
        <v>7600.0404000000008</v>
      </c>
      <c r="Q16" s="52">
        <f t="shared" ref="Q16:Q24" si="8">N16*1.03</f>
        <v>0</v>
      </c>
      <c r="R16" s="11">
        <f t="shared" si="1"/>
        <v>7600.0404000000008</v>
      </c>
      <c r="S16" s="2"/>
    </row>
    <row r="17" spans="1:19" x14ac:dyDescent="0.25">
      <c r="A17" s="2"/>
      <c r="B17" s="12" t="s">
        <v>3</v>
      </c>
      <c r="C17" s="90" t="s">
        <v>79</v>
      </c>
      <c r="D17" s="210">
        <f>'NR 2026'!G17</f>
        <v>480.9</v>
      </c>
      <c r="E17" s="227">
        <f>'NR 2026'!H17</f>
        <v>0</v>
      </c>
      <c r="F17" s="280">
        <f t="shared" si="2"/>
        <v>480.9</v>
      </c>
      <c r="G17" s="210">
        <f>'NR 2026'!M17</f>
        <v>396.7</v>
      </c>
      <c r="H17" s="228">
        <f>'NR 2026'!N17</f>
        <v>0</v>
      </c>
      <c r="I17" s="280">
        <f t="shared" si="3"/>
        <v>396.7</v>
      </c>
      <c r="J17" s="137">
        <f>'NR 2026'!Y17</f>
        <v>225.6</v>
      </c>
      <c r="K17" s="138">
        <f>'NR 2026'!Z17</f>
        <v>0</v>
      </c>
      <c r="L17" s="135">
        <f t="shared" si="4"/>
        <v>225.6</v>
      </c>
      <c r="M17" s="125">
        <f t="shared" si="5"/>
        <v>230.11199999999999</v>
      </c>
      <c r="N17" s="52">
        <f t="shared" si="6"/>
        <v>0</v>
      </c>
      <c r="O17" s="11">
        <f t="shared" si="0"/>
        <v>230.11199999999999</v>
      </c>
      <c r="P17" s="50">
        <f t="shared" si="7"/>
        <v>237.01535999999999</v>
      </c>
      <c r="Q17" s="52">
        <f t="shared" si="8"/>
        <v>0</v>
      </c>
      <c r="R17" s="11">
        <f t="shared" si="1"/>
        <v>237.01535999999999</v>
      </c>
      <c r="S17" s="2"/>
    </row>
    <row r="18" spans="1:19" x14ac:dyDescent="0.25">
      <c r="A18" s="2"/>
      <c r="B18" s="12" t="s">
        <v>121</v>
      </c>
      <c r="C18" s="197" t="s">
        <v>120</v>
      </c>
      <c r="D18" s="210">
        <f>'NR 2026'!G18</f>
        <v>0</v>
      </c>
      <c r="E18" s="227">
        <f>'NR 2026'!H18</f>
        <v>0</v>
      </c>
      <c r="F18" s="280">
        <f t="shared" si="2"/>
        <v>0</v>
      </c>
      <c r="G18" s="210">
        <f>'NR 2026'!M18</f>
        <v>0</v>
      </c>
      <c r="H18" s="228">
        <f>'NR 2026'!N18</f>
        <v>0</v>
      </c>
      <c r="I18" s="280">
        <f t="shared" si="3"/>
        <v>0</v>
      </c>
      <c r="J18" s="137">
        <f>'NR 2026'!Y18</f>
        <v>9246.4</v>
      </c>
      <c r="K18" s="138">
        <f>'NR 2026'!Z18</f>
        <v>0</v>
      </c>
      <c r="L18" s="135">
        <f t="shared" si="4"/>
        <v>9246.4</v>
      </c>
      <c r="M18" s="125">
        <f t="shared" si="5"/>
        <v>9431.3279999999995</v>
      </c>
      <c r="N18" s="52">
        <f t="shared" si="6"/>
        <v>0</v>
      </c>
      <c r="O18" s="11">
        <f t="shared" si="0"/>
        <v>9431.3279999999995</v>
      </c>
      <c r="P18" s="50">
        <f t="shared" si="7"/>
        <v>9714.2678400000004</v>
      </c>
      <c r="Q18" s="52">
        <f t="shared" si="8"/>
        <v>0</v>
      </c>
      <c r="R18" s="11">
        <f t="shared" si="1"/>
        <v>9714.2678400000004</v>
      </c>
      <c r="S18" s="2"/>
    </row>
    <row r="19" spans="1:19" x14ac:dyDescent="0.25">
      <c r="A19" s="2"/>
      <c r="B19" s="12" t="s">
        <v>5</v>
      </c>
      <c r="C19" s="91" t="s">
        <v>53</v>
      </c>
      <c r="D19" s="210">
        <f>'NR 2026'!G19</f>
        <v>49562.700000000004</v>
      </c>
      <c r="E19" s="227">
        <f>'NR 2026'!H19</f>
        <v>0</v>
      </c>
      <c r="F19" s="280">
        <f t="shared" si="2"/>
        <v>49562.700000000004</v>
      </c>
      <c r="G19" s="210">
        <f>'NR 2026'!M19</f>
        <v>48932.6</v>
      </c>
      <c r="H19" s="227">
        <f>'NR 2026'!N19</f>
        <v>0</v>
      </c>
      <c r="I19" s="280">
        <f t="shared" si="3"/>
        <v>48932.6</v>
      </c>
      <c r="J19" s="137">
        <f>'NR 2026'!Y19</f>
        <v>42075.199999999997</v>
      </c>
      <c r="K19" s="138">
        <f>'NR 2026'!Z19</f>
        <v>0</v>
      </c>
      <c r="L19" s="135">
        <f t="shared" si="4"/>
        <v>42075.199999999997</v>
      </c>
      <c r="M19" s="125">
        <f t="shared" si="5"/>
        <v>42916.703999999998</v>
      </c>
      <c r="N19" s="52">
        <f t="shared" si="6"/>
        <v>0</v>
      </c>
      <c r="O19" s="11">
        <f t="shared" si="0"/>
        <v>42916.703999999998</v>
      </c>
      <c r="P19" s="50">
        <f t="shared" si="7"/>
        <v>44204.205119999999</v>
      </c>
      <c r="Q19" s="52">
        <f t="shared" si="8"/>
        <v>0</v>
      </c>
      <c r="R19" s="11">
        <f t="shared" si="1"/>
        <v>44204.205119999999</v>
      </c>
      <c r="S19" s="2"/>
    </row>
    <row r="20" spans="1:19" x14ac:dyDescent="0.25">
      <c r="A20" s="2"/>
      <c r="B20" s="12" t="s">
        <v>7</v>
      </c>
      <c r="C20" s="32" t="s">
        <v>46</v>
      </c>
      <c r="D20" s="210">
        <f>'NR 2026'!G20</f>
        <v>1001</v>
      </c>
      <c r="E20" s="227">
        <f>'NR 2026'!H20</f>
        <v>0</v>
      </c>
      <c r="F20" s="280">
        <f t="shared" si="2"/>
        <v>1001</v>
      </c>
      <c r="G20" s="210">
        <f>'NR 2026'!M20</f>
        <v>1030</v>
      </c>
      <c r="H20" s="227">
        <f>'NR 2026'!N20</f>
        <v>0</v>
      </c>
      <c r="I20" s="280">
        <f t="shared" si="3"/>
        <v>1030</v>
      </c>
      <c r="J20" s="137">
        <f>'NR 2026'!Y20</f>
        <v>800</v>
      </c>
      <c r="K20" s="138">
        <f>'NR 2026'!Z20</f>
        <v>0</v>
      </c>
      <c r="L20" s="135">
        <f t="shared" si="4"/>
        <v>800</v>
      </c>
      <c r="M20" s="125">
        <f t="shared" si="5"/>
        <v>816</v>
      </c>
      <c r="N20" s="52">
        <f t="shared" si="6"/>
        <v>0</v>
      </c>
      <c r="O20" s="11">
        <f t="shared" si="0"/>
        <v>816</v>
      </c>
      <c r="P20" s="50">
        <f t="shared" si="7"/>
        <v>840.48</v>
      </c>
      <c r="Q20" s="52">
        <f t="shared" si="8"/>
        <v>0</v>
      </c>
      <c r="R20" s="11">
        <f t="shared" si="1"/>
        <v>840.48</v>
      </c>
      <c r="S20" s="2"/>
    </row>
    <row r="21" spans="1:19" x14ac:dyDescent="0.25">
      <c r="A21" s="2"/>
      <c r="B21" s="12" t="s">
        <v>9</v>
      </c>
      <c r="C21" s="92" t="s">
        <v>47</v>
      </c>
      <c r="D21" s="210">
        <f>'NR 2026'!G21</f>
        <v>232.6</v>
      </c>
      <c r="E21" s="227">
        <f>'NR 2026'!H21</f>
        <v>0</v>
      </c>
      <c r="F21" s="280">
        <f t="shared" si="2"/>
        <v>232.6</v>
      </c>
      <c r="G21" s="210">
        <f>'NR 2026'!M21</f>
        <v>520</v>
      </c>
      <c r="H21" s="227">
        <f>'NR 2026'!N21</f>
        <v>0</v>
      </c>
      <c r="I21" s="280">
        <f t="shared" si="3"/>
        <v>520</v>
      </c>
      <c r="J21" s="137">
        <f>'NR 2026'!Y21</f>
        <v>80</v>
      </c>
      <c r="K21" s="138">
        <f>'NR 2026'!Z21</f>
        <v>211</v>
      </c>
      <c r="L21" s="135">
        <f t="shared" si="4"/>
        <v>291</v>
      </c>
      <c r="M21" s="125">
        <f t="shared" si="5"/>
        <v>81.599999999999994</v>
      </c>
      <c r="N21" s="52">
        <f t="shared" si="6"/>
        <v>215.22</v>
      </c>
      <c r="O21" s="11">
        <f t="shared" si="0"/>
        <v>296.82</v>
      </c>
      <c r="P21" s="50">
        <f t="shared" si="7"/>
        <v>84.048000000000002</v>
      </c>
      <c r="Q21" s="52">
        <f t="shared" si="8"/>
        <v>221.67660000000001</v>
      </c>
      <c r="R21" s="11">
        <f t="shared" si="1"/>
        <v>305.72460000000001</v>
      </c>
      <c r="S21" s="2"/>
    </row>
    <row r="22" spans="1:19" x14ac:dyDescent="0.25">
      <c r="A22" s="2"/>
      <c r="B22" s="12" t="s">
        <v>11</v>
      </c>
      <c r="C22" s="31" t="s">
        <v>2</v>
      </c>
      <c r="D22" s="210">
        <f>'NR 2026'!G22</f>
        <v>685.6</v>
      </c>
      <c r="E22" s="227">
        <f>'NR 2026'!H22</f>
        <v>221.3</v>
      </c>
      <c r="F22" s="280">
        <f>D22+E22</f>
        <v>906.90000000000009</v>
      </c>
      <c r="G22" s="210">
        <f>'NR 2026'!M22</f>
        <v>465</v>
      </c>
      <c r="H22" s="227">
        <f>'NR 2026'!N22</f>
        <v>229.6</v>
      </c>
      <c r="I22" s="280">
        <f t="shared" si="3"/>
        <v>694.6</v>
      </c>
      <c r="J22" s="137">
        <f>'NR 2026'!Y22</f>
        <v>583</v>
      </c>
      <c r="K22" s="138">
        <f>'NR 2026'!Z22</f>
        <v>211</v>
      </c>
      <c r="L22" s="135">
        <f t="shared" si="4"/>
        <v>794</v>
      </c>
      <c r="M22" s="125">
        <f t="shared" si="5"/>
        <v>594.66</v>
      </c>
      <c r="N22" s="52">
        <f t="shared" si="6"/>
        <v>215.22</v>
      </c>
      <c r="O22" s="11">
        <f t="shared" si="0"/>
        <v>809.88</v>
      </c>
      <c r="P22" s="50">
        <f t="shared" si="7"/>
        <v>612.49979999999994</v>
      </c>
      <c r="Q22" s="52">
        <f t="shared" si="8"/>
        <v>221.67660000000001</v>
      </c>
      <c r="R22" s="11">
        <f t="shared" si="1"/>
        <v>834.17639999999994</v>
      </c>
      <c r="S22" s="2"/>
    </row>
    <row r="23" spans="1:19" x14ac:dyDescent="0.25">
      <c r="A23" s="2"/>
      <c r="B23" s="12" t="s">
        <v>13</v>
      </c>
      <c r="C23" s="31" t="s">
        <v>4</v>
      </c>
      <c r="D23" s="210">
        <f>'NR 2026'!G23</f>
        <v>0</v>
      </c>
      <c r="E23" s="227">
        <f>'NR 2026'!H23</f>
        <v>221.3</v>
      </c>
      <c r="F23" s="280">
        <f t="shared" ref="F23:F24" si="9">D23+E23</f>
        <v>221.3</v>
      </c>
      <c r="G23" s="210">
        <f>'NR 2026'!M23</f>
        <v>0</v>
      </c>
      <c r="H23" s="227">
        <f>'NR 2026'!N23</f>
        <v>229.6</v>
      </c>
      <c r="I23" s="280">
        <f>G23+H23</f>
        <v>229.6</v>
      </c>
      <c r="J23" s="137">
        <f>'NR 2026'!Y23</f>
        <v>0</v>
      </c>
      <c r="K23" s="138">
        <f>'NR 2026'!Z23</f>
        <v>0</v>
      </c>
      <c r="L23" s="135">
        <f t="shared" si="4"/>
        <v>0</v>
      </c>
      <c r="M23" s="125">
        <f t="shared" si="5"/>
        <v>0</v>
      </c>
      <c r="N23" s="52">
        <f t="shared" si="6"/>
        <v>0</v>
      </c>
      <c r="O23" s="11">
        <f t="shared" si="0"/>
        <v>0</v>
      </c>
      <c r="P23" s="50">
        <f t="shared" si="7"/>
        <v>0</v>
      </c>
      <c r="Q23" s="52">
        <f t="shared" si="8"/>
        <v>0</v>
      </c>
      <c r="R23" s="11">
        <f t="shared" si="1"/>
        <v>0</v>
      </c>
      <c r="S23" s="2"/>
    </row>
    <row r="24" spans="1:19" ht="15.75" thickBot="1" x14ac:dyDescent="0.3">
      <c r="A24" s="2"/>
      <c r="B24" s="93" t="s">
        <v>15</v>
      </c>
      <c r="C24" s="94" t="s">
        <v>6</v>
      </c>
      <c r="D24" s="210">
        <f>'NR 2026'!G24</f>
        <v>0</v>
      </c>
      <c r="E24" s="227">
        <f>'NR 2026'!H24</f>
        <v>0</v>
      </c>
      <c r="F24" s="280">
        <f t="shared" si="9"/>
        <v>0</v>
      </c>
      <c r="G24" s="210">
        <f>'NR 2026'!M24</f>
        <v>0</v>
      </c>
      <c r="H24" s="227">
        <f>'NR 2026'!N24</f>
        <v>0</v>
      </c>
      <c r="I24" s="281">
        <f t="shared" si="3"/>
        <v>0</v>
      </c>
      <c r="J24" s="137">
        <f>'NR 2026'!Y24</f>
        <v>0</v>
      </c>
      <c r="K24" s="138">
        <f>'NR 2026'!Z24</f>
        <v>0</v>
      </c>
      <c r="L24" s="135">
        <f t="shared" si="4"/>
        <v>0</v>
      </c>
      <c r="M24" s="125">
        <f t="shared" si="5"/>
        <v>0</v>
      </c>
      <c r="N24" s="52">
        <f t="shared" si="6"/>
        <v>0</v>
      </c>
      <c r="O24" s="20">
        <f t="shared" si="0"/>
        <v>0</v>
      </c>
      <c r="P24" s="50">
        <f t="shared" si="7"/>
        <v>0</v>
      </c>
      <c r="Q24" s="52">
        <f t="shared" si="8"/>
        <v>0</v>
      </c>
      <c r="R24" s="20">
        <f t="shared" si="1"/>
        <v>0</v>
      </c>
      <c r="S24" s="2"/>
    </row>
    <row r="25" spans="1:19" ht="15.75" thickBot="1" x14ac:dyDescent="0.3">
      <c r="A25" s="2"/>
      <c r="B25" s="21" t="s">
        <v>17</v>
      </c>
      <c r="C25" s="22" t="s">
        <v>8</v>
      </c>
      <c r="D25" s="226">
        <f t="shared" ref="D25:R25" si="10">SUM(D15:D22)</f>
        <v>60895.9</v>
      </c>
      <c r="E25" s="226">
        <f>SUM(E15:E22)</f>
        <v>726</v>
      </c>
      <c r="F25" s="226">
        <f t="shared" si="10"/>
        <v>61621.9</v>
      </c>
      <c r="G25" s="226">
        <f t="shared" si="10"/>
        <v>60840.3</v>
      </c>
      <c r="H25" s="226">
        <f>SUM(H15:H22)</f>
        <v>679.6</v>
      </c>
      <c r="I25" s="282">
        <f t="shared" si="10"/>
        <v>61519.9</v>
      </c>
      <c r="J25" s="126">
        <f t="shared" si="10"/>
        <v>62394.2</v>
      </c>
      <c r="K25" s="126">
        <f t="shared" si="10"/>
        <v>867</v>
      </c>
      <c r="L25" s="126">
        <f t="shared" si="10"/>
        <v>63261.2</v>
      </c>
      <c r="M25" s="132">
        <f>SUM(M15:M24)</f>
        <v>63642.083999999995</v>
      </c>
      <c r="N25" s="23">
        <f t="shared" si="10"/>
        <v>884.34</v>
      </c>
      <c r="O25" s="23">
        <f t="shared" si="10"/>
        <v>64526.423999999992</v>
      </c>
      <c r="P25" s="23">
        <f t="shared" si="10"/>
        <v>65551.346520000006</v>
      </c>
      <c r="Q25" s="23">
        <f t="shared" si="10"/>
        <v>910.87020000000007</v>
      </c>
      <c r="R25" s="23">
        <f t="shared" si="10"/>
        <v>66462.216719999997</v>
      </c>
      <c r="S25" s="2"/>
    </row>
    <row r="26" spans="1:19" ht="15.75" customHeight="1" thickBot="1" x14ac:dyDescent="0.3">
      <c r="A26" s="2"/>
      <c r="B26" s="141"/>
      <c r="C26" s="142" t="s">
        <v>107</v>
      </c>
      <c r="D26" s="313"/>
      <c r="E26" s="313"/>
      <c r="F26" s="314"/>
      <c r="G26" s="313"/>
      <c r="H26" s="313"/>
      <c r="I26" s="313"/>
      <c r="J26" s="378"/>
      <c r="K26" s="313"/>
      <c r="L26" s="314"/>
      <c r="M26" s="313"/>
      <c r="N26" s="313"/>
      <c r="O26" s="314"/>
      <c r="P26" s="313"/>
      <c r="Q26" s="313"/>
      <c r="R26" s="314"/>
      <c r="S26" s="2"/>
    </row>
    <row r="27" spans="1:19" x14ac:dyDescent="0.25">
      <c r="A27" s="2"/>
      <c r="B27" s="323" t="s">
        <v>37</v>
      </c>
      <c r="C27" s="344" t="s">
        <v>38</v>
      </c>
      <c r="D27" s="380" t="s">
        <v>64</v>
      </c>
      <c r="E27" s="351" t="s">
        <v>67</v>
      </c>
      <c r="F27" s="353" t="s">
        <v>68</v>
      </c>
      <c r="G27" s="317" t="s">
        <v>64</v>
      </c>
      <c r="H27" s="380" t="s">
        <v>67</v>
      </c>
      <c r="I27" s="382" t="s">
        <v>68</v>
      </c>
      <c r="J27" s="374" t="s">
        <v>64</v>
      </c>
      <c r="K27" s="361" t="s">
        <v>67</v>
      </c>
      <c r="L27" s="372" t="s">
        <v>68</v>
      </c>
      <c r="M27" s="376" t="s">
        <v>64</v>
      </c>
      <c r="N27" s="361" t="s">
        <v>67</v>
      </c>
      <c r="O27" s="372" t="s">
        <v>68</v>
      </c>
      <c r="P27" s="305" t="s">
        <v>64</v>
      </c>
      <c r="Q27" s="361" t="s">
        <v>67</v>
      </c>
      <c r="R27" s="372" t="s">
        <v>68</v>
      </c>
      <c r="S27" s="2"/>
    </row>
    <row r="28" spans="1:19" ht="15.75" thickBot="1" x14ac:dyDescent="0.3">
      <c r="A28" s="2"/>
      <c r="B28" s="324"/>
      <c r="C28" s="345"/>
      <c r="D28" s="381"/>
      <c r="E28" s="352"/>
      <c r="F28" s="354"/>
      <c r="G28" s="318"/>
      <c r="H28" s="381"/>
      <c r="I28" s="383"/>
      <c r="J28" s="375"/>
      <c r="K28" s="362"/>
      <c r="L28" s="373"/>
      <c r="M28" s="377"/>
      <c r="N28" s="362"/>
      <c r="O28" s="373"/>
      <c r="P28" s="306"/>
      <c r="Q28" s="362"/>
      <c r="R28" s="373"/>
      <c r="S28" s="2"/>
    </row>
    <row r="29" spans="1:19" x14ac:dyDescent="0.25">
      <c r="A29" s="2"/>
      <c r="B29" s="29" t="s">
        <v>19</v>
      </c>
      <c r="C29" s="30" t="s">
        <v>10</v>
      </c>
      <c r="D29" s="210">
        <f>'NR 2026'!G29</f>
        <v>469.6</v>
      </c>
      <c r="E29" s="227">
        <f>'NR 2026'!H29</f>
        <v>0</v>
      </c>
      <c r="F29" s="218">
        <f>E29+D29</f>
        <v>469.6</v>
      </c>
      <c r="G29" s="210">
        <f>'NR 2026'!M29</f>
        <v>220.5</v>
      </c>
      <c r="H29" s="227">
        <f>'NR 2026'!N29</f>
        <v>4</v>
      </c>
      <c r="I29" s="280">
        <f t="shared" ref="I29:I39" si="11">G29+H29</f>
        <v>224.5</v>
      </c>
      <c r="J29" s="137">
        <f>'NR 2026'!Y29</f>
        <v>262</v>
      </c>
      <c r="K29" s="138">
        <f>'NR 2026'!Z29</f>
        <v>10</v>
      </c>
      <c r="L29" s="139">
        <f>J29+K29</f>
        <v>272</v>
      </c>
      <c r="M29" s="140">
        <f>J29*1.02</f>
        <v>267.24</v>
      </c>
      <c r="N29" s="140">
        <f>K29*1.02</f>
        <v>10.199999999999999</v>
      </c>
      <c r="O29" s="11">
        <f t="shared" ref="O29:O39" si="12">M29+N29</f>
        <v>277.44</v>
      </c>
      <c r="P29" s="140">
        <f>M29*1.03</f>
        <v>275.25720000000001</v>
      </c>
      <c r="Q29" s="140">
        <f>N29*1.03</f>
        <v>10.506</v>
      </c>
      <c r="R29" s="11">
        <f t="shared" ref="R29:R39" si="13">P29+Q29</f>
        <v>285.76319999999998</v>
      </c>
      <c r="S29" s="2"/>
    </row>
    <row r="30" spans="1:19" x14ac:dyDescent="0.25">
      <c r="A30" s="2"/>
      <c r="B30" s="12" t="s">
        <v>20</v>
      </c>
      <c r="C30" s="31" t="s">
        <v>12</v>
      </c>
      <c r="D30" s="210">
        <f>'NR 2026'!G30</f>
        <v>3618.9</v>
      </c>
      <c r="E30" s="227">
        <f>'NR 2026'!H30</f>
        <v>326.5</v>
      </c>
      <c r="F30" s="218">
        <f t="shared" ref="F30:F39" si="14">E30+D30</f>
        <v>3945.4</v>
      </c>
      <c r="G30" s="210">
        <f>'NR 2026'!M30</f>
        <v>3646.1</v>
      </c>
      <c r="H30" s="228">
        <f>'NR 2026'!N30</f>
        <v>290</v>
      </c>
      <c r="I30" s="280">
        <f t="shared" si="11"/>
        <v>3936.1</v>
      </c>
      <c r="J30" s="137">
        <f>'NR 2026'!Y30</f>
        <v>3755.5</v>
      </c>
      <c r="K30" s="138">
        <f>'NR 2026'!Z30</f>
        <v>471</v>
      </c>
      <c r="L30" s="135">
        <f t="shared" ref="L30:L39" si="15">J30+K30</f>
        <v>4226.5</v>
      </c>
      <c r="M30" s="140">
        <f t="shared" ref="M30:M39" si="16">J30*1.02</f>
        <v>3830.61</v>
      </c>
      <c r="N30" s="140">
        <f t="shared" ref="N30:N39" si="17">K30*1.02</f>
        <v>480.42</v>
      </c>
      <c r="O30" s="11">
        <f t="shared" si="12"/>
        <v>4311.03</v>
      </c>
      <c r="P30" s="140">
        <f t="shared" ref="P30:P39" si="18">M30*1.03</f>
        <v>3945.5283000000004</v>
      </c>
      <c r="Q30" s="140">
        <f t="shared" ref="Q30:Q39" si="19">N30*1.03</f>
        <v>494.83260000000001</v>
      </c>
      <c r="R30" s="11">
        <f t="shared" si="13"/>
        <v>4440.3609000000006</v>
      </c>
      <c r="S30" s="2"/>
    </row>
    <row r="31" spans="1:19" x14ac:dyDescent="0.25">
      <c r="A31" s="2"/>
      <c r="B31" s="12" t="s">
        <v>22</v>
      </c>
      <c r="C31" s="31" t="s">
        <v>14</v>
      </c>
      <c r="D31" s="210">
        <f>'NR 2026'!G31</f>
        <v>2854.8</v>
      </c>
      <c r="E31" s="227">
        <f>'NR 2026'!H31</f>
        <v>60</v>
      </c>
      <c r="F31" s="218">
        <f t="shared" si="14"/>
        <v>2914.8</v>
      </c>
      <c r="G31" s="210">
        <f>'NR 2026'!M31</f>
        <v>3339.7</v>
      </c>
      <c r="H31" s="228">
        <f>'NR 2026'!N31</f>
        <v>85.8</v>
      </c>
      <c r="I31" s="280">
        <f t="shared" si="11"/>
        <v>3425.5</v>
      </c>
      <c r="J31" s="137">
        <f>'NR 2026'!Y31</f>
        <v>3110</v>
      </c>
      <c r="K31" s="138">
        <f>'NR 2026'!Z31</f>
        <v>99</v>
      </c>
      <c r="L31" s="135">
        <f t="shared" si="15"/>
        <v>3209</v>
      </c>
      <c r="M31" s="140">
        <f t="shared" si="16"/>
        <v>3172.2000000000003</v>
      </c>
      <c r="N31" s="140">
        <f t="shared" si="17"/>
        <v>100.98</v>
      </c>
      <c r="O31" s="11">
        <f t="shared" si="12"/>
        <v>3273.1800000000003</v>
      </c>
      <c r="P31" s="140">
        <f t="shared" si="18"/>
        <v>3267.3660000000004</v>
      </c>
      <c r="Q31" s="140">
        <f t="shared" si="19"/>
        <v>104.00940000000001</v>
      </c>
      <c r="R31" s="11">
        <f t="shared" si="13"/>
        <v>3371.3754000000004</v>
      </c>
      <c r="S31" s="2"/>
    </row>
    <row r="32" spans="1:19" x14ac:dyDescent="0.25">
      <c r="A32" s="2"/>
      <c r="B32" s="12" t="s">
        <v>24</v>
      </c>
      <c r="C32" s="31" t="s">
        <v>16</v>
      </c>
      <c r="D32" s="210">
        <f>'NR 2026'!G32</f>
        <v>2006.5</v>
      </c>
      <c r="E32" s="227">
        <f>'NR 2026'!H32</f>
        <v>0</v>
      </c>
      <c r="F32" s="218">
        <f t="shared" si="14"/>
        <v>2006.5</v>
      </c>
      <c r="G32" s="210">
        <f>'NR 2026'!M32</f>
        <v>1845.5</v>
      </c>
      <c r="H32" s="227">
        <f>'NR 2026'!N32</f>
        <v>15</v>
      </c>
      <c r="I32" s="280">
        <f t="shared" si="11"/>
        <v>1860.5</v>
      </c>
      <c r="J32" s="137">
        <f>'NR 2026'!Y32</f>
        <v>1972.5</v>
      </c>
      <c r="K32" s="138">
        <f>'NR 2026'!Z32</f>
        <v>15</v>
      </c>
      <c r="L32" s="135">
        <f t="shared" si="15"/>
        <v>1987.5</v>
      </c>
      <c r="M32" s="140">
        <f t="shared" si="16"/>
        <v>2011.95</v>
      </c>
      <c r="N32" s="140">
        <f t="shared" si="17"/>
        <v>15.3</v>
      </c>
      <c r="O32" s="11">
        <f t="shared" si="12"/>
        <v>2027.25</v>
      </c>
      <c r="P32" s="140">
        <f t="shared" si="18"/>
        <v>2072.3085000000001</v>
      </c>
      <c r="Q32" s="140">
        <f t="shared" si="19"/>
        <v>15.759</v>
      </c>
      <c r="R32" s="11">
        <f t="shared" si="13"/>
        <v>2088.0675000000001</v>
      </c>
      <c r="S32" s="2"/>
    </row>
    <row r="33" spans="1:19" x14ac:dyDescent="0.25">
      <c r="A33" s="2"/>
      <c r="B33" s="12" t="s">
        <v>26</v>
      </c>
      <c r="C33" s="31" t="s">
        <v>18</v>
      </c>
      <c r="D33" s="210">
        <f>'NR 2026'!G33</f>
        <v>35974.100000000006</v>
      </c>
      <c r="E33" s="227">
        <f>'NR 2026'!H33</f>
        <v>132</v>
      </c>
      <c r="F33" s="218">
        <f t="shared" si="14"/>
        <v>36106.100000000006</v>
      </c>
      <c r="G33" s="210">
        <f>'NR 2026'!M33</f>
        <v>35531.5</v>
      </c>
      <c r="H33" s="227">
        <f>'NR 2026'!N33</f>
        <v>155</v>
      </c>
      <c r="I33" s="280">
        <f t="shared" si="11"/>
        <v>35686.5</v>
      </c>
      <c r="J33" s="137">
        <f>'NR 2026'!Y33</f>
        <v>37515.199999999997</v>
      </c>
      <c r="K33" s="138">
        <f>'NR 2026'!Z33</f>
        <v>148</v>
      </c>
      <c r="L33" s="135">
        <f t="shared" si="15"/>
        <v>37663.199999999997</v>
      </c>
      <c r="M33" s="140">
        <f t="shared" si="16"/>
        <v>38265.504000000001</v>
      </c>
      <c r="N33" s="140">
        <f t="shared" si="17"/>
        <v>150.96</v>
      </c>
      <c r="O33" s="11">
        <f t="shared" si="12"/>
        <v>38416.464</v>
      </c>
      <c r="P33" s="140">
        <f t="shared" si="18"/>
        <v>39413.469120000002</v>
      </c>
      <c r="Q33" s="140">
        <f t="shared" si="19"/>
        <v>155.48880000000003</v>
      </c>
      <c r="R33" s="11">
        <f t="shared" si="13"/>
        <v>39568.957920000001</v>
      </c>
      <c r="S33" s="2"/>
    </row>
    <row r="34" spans="1:19" x14ac:dyDescent="0.25">
      <c r="A34" s="2"/>
      <c r="B34" s="12" t="s">
        <v>28</v>
      </c>
      <c r="C34" s="32" t="s">
        <v>42</v>
      </c>
      <c r="D34" s="210">
        <f>'NR 2026'!G34</f>
        <v>35202</v>
      </c>
      <c r="E34" s="227">
        <f>'NR 2026'!H34</f>
        <v>68</v>
      </c>
      <c r="F34" s="218">
        <f t="shared" si="14"/>
        <v>35270</v>
      </c>
      <c r="G34" s="210">
        <f>'NR 2026'!M34</f>
        <v>35161.1</v>
      </c>
      <c r="H34" s="227">
        <f>'NR 2026'!N34</f>
        <v>55</v>
      </c>
      <c r="I34" s="280">
        <f t="shared" si="11"/>
        <v>35216.1</v>
      </c>
      <c r="J34" s="137">
        <f>'NR 2026'!Y34</f>
        <v>37240.199999999997</v>
      </c>
      <c r="K34" s="138">
        <f>'NR 2026'!Z34</f>
        <v>68</v>
      </c>
      <c r="L34" s="135">
        <f t="shared" si="15"/>
        <v>37308.199999999997</v>
      </c>
      <c r="M34" s="140">
        <f t="shared" si="16"/>
        <v>37985.004000000001</v>
      </c>
      <c r="N34" s="140">
        <f t="shared" si="17"/>
        <v>69.36</v>
      </c>
      <c r="O34" s="11">
        <f t="shared" si="12"/>
        <v>38054.364000000001</v>
      </c>
      <c r="P34" s="140">
        <f t="shared" si="18"/>
        <v>39124.554120000001</v>
      </c>
      <c r="Q34" s="140">
        <f t="shared" si="19"/>
        <v>71.440799999999996</v>
      </c>
      <c r="R34" s="11">
        <f t="shared" si="13"/>
        <v>39195.994919999997</v>
      </c>
      <c r="S34" s="2"/>
    </row>
    <row r="35" spans="1:19" x14ac:dyDescent="0.25">
      <c r="A35" s="2"/>
      <c r="B35" s="12" t="s">
        <v>30</v>
      </c>
      <c r="C35" s="33" t="s">
        <v>21</v>
      </c>
      <c r="D35" s="210">
        <f>'NR 2026'!G35</f>
        <v>772.09999999999991</v>
      </c>
      <c r="E35" s="227">
        <f>'NR 2026'!H35</f>
        <v>64</v>
      </c>
      <c r="F35" s="218">
        <f t="shared" si="14"/>
        <v>836.09999999999991</v>
      </c>
      <c r="G35" s="210">
        <f>'NR 2026'!M35</f>
        <v>370.4</v>
      </c>
      <c r="H35" s="227">
        <f>'NR 2026'!N35</f>
        <v>100</v>
      </c>
      <c r="I35" s="280">
        <f t="shared" si="11"/>
        <v>470.4</v>
      </c>
      <c r="J35" s="137">
        <f>'NR 2026'!Y35</f>
        <v>275</v>
      </c>
      <c r="K35" s="138">
        <f>'NR 2026'!Z35</f>
        <v>80</v>
      </c>
      <c r="L35" s="135">
        <f t="shared" si="15"/>
        <v>355</v>
      </c>
      <c r="M35" s="140">
        <f t="shared" si="16"/>
        <v>280.5</v>
      </c>
      <c r="N35" s="140">
        <f t="shared" si="17"/>
        <v>81.599999999999994</v>
      </c>
      <c r="O35" s="11">
        <f t="shared" si="12"/>
        <v>362.1</v>
      </c>
      <c r="P35" s="140">
        <f t="shared" si="18"/>
        <v>288.91500000000002</v>
      </c>
      <c r="Q35" s="140">
        <f t="shared" si="19"/>
        <v>84.048000000000002</v>
      </c>
      <c r="R35" s="11">
        <f t="shared" si="13"/>
        <v>372.96300000000002</v>
      </c>
      <c r="S35" s="2"/>
    </row>
    <row r="36" spans="1:19" x14ac:dyDescent="0.25">
      <c r="A36" s="2"/>
      <c r="B36" s="12" t="s">
        <v>32</v>
      </c>
      <c r="C36" s="31" t="s">
        <v>23</v>
      </c>
      <c r="D36" s="210">
        <f>'NR 2026'!G36</f>
        <v>11707.8</v>
      </c>
      <c r="E36" s="227">
        <f>'NR 2026'!H36</f>
        <v>23</v>
      </c>
      <c r="F36" s="218">
        <f t="shared" si="14"/>
        <v>11730.8</v>
      </c>
      <c r="G36" s="210">
        <f>'NR 2026'!M36</f>
        <v>11954.300000000001</v>
      </c>
      <c r="H36" s="227">
        <f>'NR 2026'!N36</f>
        <v>18.899999999999999</v>
      </c>
      <c r="I36" s="280">
        <f t="shared" si="11"/>
        <v>11973.2</v>
      </c>
      <c r="J36" s="137">
        <f>'NR 2026'!Y36</f>
        <v>12831.9</v>
      </c>
      <c r="K36" s="138">
        <f>'NR 2026'!Z36</f>
        <v>0</v>
      </c>
      <c r="L36" s="135">
        <f t="shared" si="15"/>
        <v>12831.9</v>
      </c>
      <c r="M36" s="140">
        <f t="shared" si="16"/>
        <v>13088.538</v>
      </c>
      <c r="N36" s="140">
        <f t="shared" si="17"/>
        <v>0</v>
      </c>
      <c r="O36" s="11">
        <f t="shared" si="12"/>
        <v>13088.538</v>
      </c>
      <c r="P36" s="140">
        <f t="shared" si="18"/>
        <v>13481.194140000001</v>
      </c>
      <c r="Q36" s="140">
        <f t="shared" si="19"/>
        <v>0</v>
      </c>
      <c r="R36" s="11">
        <f t="shared" si="13"/>
        <v>13481.194140000001</v>
      </c>
      <c r="S36" s="2"/>
    </row>
    <row r="37" spans="1:19" x14ac:dyDescent="0.25">
      <c r="A37" s="2"/>
      <c r="B37" s="12" t="s">
        <v>33</v>
      </c>
      <c r="C37" s="31" t="s">
        <v>25</v>
      </c>
      <c r="D37" s="210">
        <f>'NR 2026'!G37</f>
        <v>118.2</v>
      </c>
      <c r="E37" s="227">
        <f>'NR 2026'!H37</f>
        <v>0</v>
      </c>
      <c r="F37" s="218">
        <f t="shared" si="14"/>
        <v>118.2</v>
      </c>
      <c r="G37" s="210">
        <f>'NR 2026'!M37</f>
        <v>0</v>
      </c>
      <c r="H37" s="227">
        <f>'NR 2026'!N37</f>
        <v>0</v>
      </c>
      <c r="I37" s="280">
        <f t="shared" si="11"/>
        <v>0</v>
      </c>
      <c r="J37" s="137">
        <f>'NR 2026'!Y37</f>
        <v>71</v>
      </c>
      <c r="K37" s="138">
        <f>'NR 2026'!Z37</f>
        <v>23.4</v>
      </c>
      <c r="L37" s="135">
        <f t="shared" si="15"/>
        <v>94.4</v>
      </c>
      <c r="M37" s="140">
        <f t="shared" si="16"/>
        <v>72.42</v>
      </c>
      <c r="N37" s="140">
        <f t="shared" si="17"/>
        <v>23.867999999999999</v>
      </c>
      <c r="O37" s="11">
        <f t="shared" si="12"/>
        <v>96.287999999999997</v>
      </c>
      <c r="P37" s="140">
        <f t="shared" si="18"/>
        <v>74.592600000000004</v>
      </c>
      <c r="Q37" s="140">
        <f t="shared" si="19"/>
        <v>24.584039999999998</v>
      </c>
      <c r="R37" s="11">
        <f t="shared" si="13"/>
        <v>99.176640000000006</v>
      </c>
      <c r="S37" s="2"/>
    </row>
    <row r="38" spans="1:19" x14ac:dyDescent="0.25">
      <c r="A38" s="2"/>
      <c r="B38" s="12" t="s">
        <v>34</v>
      </c>
      <c r="C38" s="31" t="s">
        <v>27</v>
      </c>
      <c r="D38" s="210">
        <f>'NR 2026'!G38</f>
        <v>1952</v>
      </c>
      <c r="E38" s="227">
        <f>'NR 2026'!H38</f>
        <v>0</v>
      </c>
      <c r="F38" s="218">
        <f t="shared" si="14"/>
        <v>1952</v>
      </c>
      <c r="G38" s="210">
        <f>'NR 2026'!M38</f>
        <v>2026.4</v>
      </c>
      <c r="H38" s="227">
        <f>'NR 2026'!N38</f>
        <v>0</v>
      </c>
      <c r="I38" s="280">
        <f t="shared" si="11"/>
        <v>2026.4</v>
      </c>
      <c r="J38" s="137">
        <f>'NR 2026'!Y38</f>
        <v>1822.5</v>
      </c>
      <c r="K38" s="138">
        <f>'NR 2026'!Z38</f>
        <v>0</v>
      </c>
      <c r="L38" s="135">
        <f t="shared" si="15"/>
        <v>1822.5</v>
      </c>
      <c r="M38" s="140">
        <f t="shared" si="16"/>
        <v>1858.95</v>
      </c>
      <c r="N38" s="140">
        <f t="shared" si="17"/>
        <v>0</v>
      </c>
      <c r="O38" s="11">
        <f t="shared" si="12"/>
        <v>1858.95</v>
      </c>
      <c r="P38" s="140">
        <f t="shared" si="18"/>
        <v>1914.7185000000002</v>
      </c>
      <c r="Q38" s="140">
        <f t="shared" si="19"/>
        <v>0</v>
      </c>
      <c r="R38" s="11">
        <f t="shared" si="13"/>
        <v>1914.7185000000002</v>
      </c>
      <c r="S38" s="2"/>
    </row>
    <row r="39" spans="1:19" ht="15.75" thickBot="1" x14ac:dyDescent="0.3">
      <c r="A39" s="2"/>
      <c r="B39" s="17" t="s">
        <v>35</v>
      </c>
      <c r="C39" s="68" t="s">
        <v>29</v>
      </c>
      <c r="D39" s="210">
        <f>'NR 2026'!G39</f>
        <v>2145.7000000000003</v>
      </c>
      <c r="E39" s="227">
        <f>'NR 2026'!H39</f>
        <v>0.6</v>
      </c>
      <c r="F39" s="218">
        <f t="shared" si="14"/>
        <v>2146.3000000000002</v>
      </c>
      <c r="G39" s="210">
        <f>'NR 2026'!M39</f>
        <v>2276.3000000000002</v>
      </c>
      <c r="H39" s="227">
        <f>'NR 2026'!N39</f>
        <v>110.9</v>
      </c>
      <c r="I39" s="281">
        <f t="shared" si="11"/>
        <v>2387.2000000000003</v>
      </c>
      <c r="J39" s="137">
        <f>'NR 2026'!Y39</f>
        <v>1053.5999999999999</v>
      </c>
      <c r="K39" s="138">
        <f>'NR 2026'!Z39</f>
        <v>100.6</v>
      </c>
      <c r="L39" s="135">
        <f t="shared" si="15"/>
        <v>1154.1999999999998</v>
      </c>
      <c r="M39" s="140">
        <f t="shared" si="16"/>
        <v>1074.672</v>
      </c>
      <c r="N39" s="140">
        <f t="shared" si="17"/>
        <v>102.61199999999999</v>
      </c>
      <c r="O39" s="20">
        <f t="shared" si="12"/>
        <v>1177.2840000000001</v>
      </c>
      <c r="P39" s="140">
        <f t="shared" si="18"/>
        <v>1106.9121600000001</v>
      </c>
      <c r="Q39" s="140">
        <f t="shared" si="19"/>
        <v>105.69036</v>
      </c>
      <c r="R39" s="20">
        <f t="shared" si="13"/>
        <v>1212.6025200000001</v>
      </c>
      <c r="S39" s="2"/>
    </row>
    <row r="40" spans="1:19" ht="15.75" thickBot="1" x14ac:dyDescent="0.3">
      <c r="A40" s="2"/>
      <c r="B40" s="21" t="s">
        <v>48</v>
      </c>
      <c r="C40" s="69" t="s">
        <v>31</v>
      </c>
      <c r="D40" s="34">
        <f>SUM(D29:D33)+SUM(D36:D39)</f>
        <v>60847.600000000006</v>
      </c>
      <c r="E40" s="34">
        <f>SUM(E29:E33)+SUM(E36:E39)</f>
        <v>542.1</v>
      </c>
      <c r="F40" s="35">
        <f>SUM(F36:F39)+SUM(F29:F33)</f>
        <v>61389.700000000012</v>
      </c>
      <c r="G40" s="34">
        <f>SUM(G29:G33)+SUM(G36:G39)</f>
        <v>60840.3</v>
      </c>
      <c r="H40" s="34">
        <f>SUM(H29:H33)+SUM(H36:H39)</f>
        <v>679.59999999999991</v>
      </c>
      <c r="I40" s="129">
        <f>SUM(I36:I39)+SUM(I29:I33)</f>
        <v>61519.899999999994</v>
      </c>
      <c r="J40" s="129">
        <f>SUM(J36:J39)+SUM(J29:J33)</f>
        <v>62394.2</v>
      </c>
      <c r="K40" s="129">
        <f>SUM(K36:K39)+SUM(K29:K33)</f>
        <v>867</v>
      </c>
      <c r="L40" s="127">
        <f>SUM(L36:L39)+SUM(L29:L33)</f>
        <v>63261.2</v>
      </c>
      <c r="M40" s="34">
        <f>SUM(M29:M33)+SUM(M36:M39)</f>
        <v>63642.084000000003</v>
      </c>
      <c r="N40" s="34">
        <f>SUM(N29:N33)+SUM(N36:N39)</f>
        <v>884.34</v>
      </c>
      <c r="O40" s="35">
        <f>SUM(O36:O39)+SUM(O29:O33)</f>
        <v>64526.423999999999</v>
      </c>
      <c r="P40" s="34">
        <f>SUM(P29:P33)+SUM(P36:P39)</f>
        <v>65551.346520000006</v>
      </c>
      <c r="Q40" s="34">
        <f>SUM(Q29:Q33)+SUM(Q36:Q39)</f>
        <v>910.87020000000007</v>
      </c>
      <c r="R40" s="35">
        <f>SUM(R36:R39)+SUM(R29:R33)</f>
        <v>66462.216719999997</v>
      </c>
      <c r="S40" s="2"/>
    </row>
    <row r="41" spans="1:19" ht="19.5" thickBot="1" x14ac:dyDescent="0.35">
      <c r="A41" s="2"/>
      <c r="B41" s="73" t="s">
        <v>49</v>
      </c>
      <c r="C41" s="74" t="s">
        <v>51</v>
      </c>
      <c r="D41" s="84">
        <f t="shared" ref="D41:R41" si="20">D25-D40</f>
        <v>48.299999999995634</v>
      </c>
      <c r="E41" s="84">
        <f t="shared" si="20"/>
        <v>183.89999999999998</v>
      </c>
      <c r="F41" s="85">
        <f t="shared" si="20"/>
        <v>232.19999999998981</v>
      </c>
      <c r="G41" s="190">
        <f t="shared" si="20"/>
        <v>0</v>
      </c>
      <c r="H41" s="190">
        <f t="shared" si="20"/>
        <v>0</v>
      </c>
      <c r="I41" s="191">
        <f t="shared" si="20"/>
        <v>0</v>
      </c>
      <c r="J41" s="84">
        <f t="shared" si="20"/>
        <v>0</v>
      </c>
      <c r="K41" s="84">
        <f t="shared" si="20"/>
        <v>0</v>
      </c>
      <c r="L41" s="85">
        <f t="shared" si="20"/>
        <v>0</v>
      </c>
      <c r="M41" s="133">
        <f t="shared" si="20"/>
        <v>0</v>
      </c>
      <c r="N41" s="84">
        <f t="shared" si="20"/>
        <v>0</v>
      </c>
      <c r="O41" s="85">
        <f t="shared" si="20"/>
        <v>0</v>
      </c>
      <c r="P41" s="84">
        <f t="shared" si="20"/>
        <v>0</v>
      </c>
      <c r="Q41" s="84">
        <f t="shared" si="20"/>
        <v>0</v>
      </c>
      <c r="R41" s="85">
        <f t="shared" si="20"/>
        <v>0</v>
      </c>
      <c r="S41" s="2"/>
    </row>
    <row r="42" spans="1:19" ht="15.75" thickBot="1" x14ac:dyDescent="0.3">
      <c r="A42" s="2"/>
      <c r="B42" s="76" t="s">
        <v>50</v>
      </c>
      <c r="C42" s="77" t="s">
        <v>65</v>
      </c>
      <c r="D42" s="80"/>
      <c r="E42" s="81"/>
      <c r="F42" s="82">
        <f>F41-D16</f>
        <v>-6551.00000000001</v>
      </c>
      <c r="G42" s="80"/>
      <c r="H42" s="83"/>
      <c r="I42" s="130">
        <f>I41-G16</f>
        <v>-7000</v>
      </c>
      <c r="J42" s="136"/>
      <c r="K42" s="83"/>
      <c r="L42" s="82">
        <f>L41-J16</f>
        <v>-7234</v>
      </c>
      <c r="M42" s="134"/>
      <c r="N42" s="83"/>
      <c r="O42" s="82">
        <f>O41-M16</f>
        <v>-7378.68</v>
      </c>
      <c r="P42" s="80"/>
      <c r="Q42" s="83"/>
      <c r="R42" s="82">
        <f>R41-P16</f>
        <v>-7600.0404000000008</v>
      </c>
      <c r="S42" s="2"/>
    </row>
    <row r="43" spans="1:19" ht="8.25" customHeight="1" thickBot="1" x14ac:dyDescent="0.3">
      <c r="A43" s="2"/>
      <c r="B43" s="57"/>
      <c r="C43" s="39"/>
      <c r="D43" s="2"/>
      <c r="E43" s="40"/>
      <c r="F43" s="40"/>
      <c r="G43" s="2"/>
      <c r="H43" s="40"/>
      <c r="I43" s="40"/>
      <c r="J43" s="40"/>
      <c r="K43" s="40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2"/>
      <c r="B44" s="57"/>
      <c r="C44" s="341" t="s">
        <v>83</v>
      </c>
      <c r="D44" s="120" t="s">
        <v>106</v>
      </c>
      <c r="E44" s="40"/>
      <c r="F44" s="41"/>
      <c r="G44" s="120" t="s">
        <v>105</v>
      </c>
      <c r="H44" s="40"/>
      <c r="I44" s="40"/>
      <c r="J44" s="120" t="s">
        <v>104</v>
      </c>
      <c r="K44" s="40"/>
      <c r="L44" s="40"/>
      <c r="M44" s="120" t="s">
        <v>103</v>
      </c>
      <c r="N44" s="2"/>
      <c r="O44" s="2"/>
      <c r="P44" s="120" t="s">
        <v>103</v>
      </c>
      <c r="Q44" s="2"/>
      <c r="R44" s="2"/>
      <c r="S44" s="2"/>
    </row>
    <row r="45" spans="1:19" ht="15.75" thickBot="1" x14ac:dyDescent="0.3">
      <c r="A45" s="2"/>
      <c r="B45" s="57"/>
      <c r="C45" s="342"/>
      <c r="D45" s="119">
        <f>'NR 2026'!D45</f>
        <v>642.1</v>
      </c>
      <c r="E45" s="40"/>
      <c r="F45" s="41"/>
      <c r="G45" s="119">
        <f>'NR 2026'!J45</f>
        <v>642.1</v>
      </c>
      <c r="H45" s="59"/>
      <c r="I45" s="59"/>
      <c r="J45" s="279">
        <f>'NR 2026'!V45</f>
        <v>642.1</v>
      </c>
      <c r="K45" s="269"/>
      <c r="L45" s="269"/>
      <c r="M45" s="279">
        <v>642.1</v>
      </c>
      <c r="N45" s="5"/>
      <c r="O45" s="5"/>
      <c r="P45" s="279">
        <v>642.1</v>
      </c>
      <c r="Q45" s="2"/>
      <c r="R45" s="2"/>
      <c r="S45" s="2"/>
    </row>
    <row r="46" spans="1:19" ht="8.25" customHeight="1" thickBot="1" x14ac:dyDescent="0.3">
      <c r="A46" s="2"/>
      <c r="B46" s="57"/>
      <c r="C46" s="39"/>
      <c r="D46" s="40"/>
      <c r="E46" s="40"/>
      <c r="F46" s="41"/>
      <c r="G46" s="40"/>
      <c r="H46" s="40"/>
      <c r="I46" s="41"/>
      <c r="J46" s="41"/>
      <c r="K46" s="41"/>
      <c r="L46" s="2"/>
      <c r="M46" s="2"/>
      <c r="N46" s="2"/>
      <c r="O46" s="2"/>
      <c r="P46" s="2"/>
      <c r="Q46" s="2"/>
      <c r="R46" s="2"/>
      <c r="S46" s="2"/>
    </row>
    <row r="47" spans="1:19" ht="37.5" customHeight="1" thickBot="1" x14ac:dyDescent="0.3">
      <c r="A47" s="2"/>
      <c r="B47" s="57"/>
      <c r="C47" s="341" t="s">
        <v>86</v>
      </c>
      <c r="D47" s="61" t="s">
        <v>87</v>
      </c>
      <c r="E47" s="62" t="s">
        <v>85</v>
      </c>
      <c r="F47" s="41"/>
      <c r="G47" s="61" t="s">
        <v>87</v>
      </c>
      <c r="H47" s="62" t="s">
        <v>85</v>
      </c>
      <c r="I47" s="2"/>
      <c r="J47" s="61" t="s">
        <v>87</v>
      </c>
      <c r="K47" s="62" t="s">
        <v>85</v>
      </c>
      <c r="L47" s="118"/>
      <c r="M47" s="61" t="s">
        <v>87</v>
      </c>
      <c r="N47" s="62" t="s">
        <v>85</v>
      </c>
      <c r="O47" s="2"/>
      <c r="P47" s="61" t="s">
        <v>87</v>
      </c>
      <c r="Q47" s="62" t="s">
        <v>85</v>
      </c>
      <c r="R47" s="2"/>
      <c r="S47" s="2"/>
    </row>
    <row r="48" spans="1:19" ht="15.75" thickBot="1" x14ac:dyDescent="0.3">
      <c r="A48" s="2"/>
      <c r="B48" s="38"/>
      <c r="C48" s="343"/>
      <c r="D48" s="60">
        <v>0</v>
      </c>
      <c r="E48" s="63">
        <v>0</v>
      </c>
      <c r="F48" s="41"/>
      <c r="G48" s="60">
        <v>0</v>
      </c>
      <c r="H48" s="63">
        <v>0</v>
      </c>
      <c r="I48" s="2"/>
      <c r="J48" s="60">
        <v>0</v>
      </c>
      <c r="K48" s="63">
        <v>0</v>
      </c>
      <c r="L48" s="59"/>
      <c r="M48" s="60">
        <v>0</v>
      </c>
      <c r="N48" s="63">
        <v>0</v>
      </c>
      <c r="O48" s="2"/>
      <c r="P48" s="60">
        <v>0</v>
      </c>
      <c r="Q48" s="63">
        <v>0</v>
      </c>
      <c r="R48" s="2"/>
      <c r="S48" s="2"/>
    </row>
    <row r="49" spans="1:19" x14ac:dyDescent="0.25">
      <c r="A49" s="2"/>
      <c r="B49" s="38"/>
      <c r="C49" s="39"/>
      <c r="D49" s="40"/>
      <c r="E49" s="40"/>
      <c r="F49" s="41"/>
      <c r="G49" s="40"/>
      <c r="H49" s="40"/>
      <c r="I49" s="41"/>
      <c r="J49" s="41"/>
      <c r="K49" s="41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38"/>
      <c r="C50" s="64" t="s">
        <v>82</v>
      </c>
      <c r="D50" s="65" t="s">
        <v>102</v>
      </c>
      <c r="E50" s="40"/>
      <c r="F50" s="2"/>
      <c r="G50" s="65" t="s">
        <v>94</v>
      </c>
      <c r="H50" s="2"/>
      <c r="I50" s="2"/>
      <c r="J50" s="65" t="s">
        <v>101</v>
      </c>
      <c r="K50" s="2"/>
      <c r="L50" s="58"/>
      <c r="M50" s="65" t="s">
        <v>100</v>
      </c>
      <c r="N50" s="58"/>
      <c r="O50" s="58"/>
      <c r="P50" s="65" t="s">
        <v>99</v>
      </c>
      <c r="Q50" s="2"/>
      <c r="R50" s="2"/>
      <c r="S50" s="2"/>
    </row>
    <row r="51" spans="1:19" x14ac:dyDescent="0.25">
      <c r="A51" s="2"/>
      <c r="B51" s="38"/>
      <c r="C51" s="42" t="s">
        <v>70</v>
      </c>
      <c r="D51" s="43">
        <f>'NR 2026'!G51</f>
        <v>6070.6</v>
      </c>
      <c r="E51" s="40"/>
      <c r="F51" s="2"/>
      <c r="G51" s="43">
        <f>'NR 2026'!M51</f>
        <v>3685.8</v>
      </c>
      <c r="H51" s="2"/>
      <c r="I51" s="2"/>
      <c r="J51" s="43">
        <f>'NR 2026'!Y51</f>
        <v>4078.3</v>
      </c>
      <c r="K51" s="2"/>
      <c r="L51" s="108"/>
      <c r="M51" s="43">
        <f>SUM(M52:M55)</f>
        <v>4249</v>
      </c>
      <c r="N51" s="108"/>
      <c r="O51" s="108"/>
      <c r="P51" s="43">
        <f>SUM(P52:P55)</f>
        <v>4716</v>
      </c>
      <c r="Q51" s="2"/>
      <c r="R51" s="2"/>
      <c r="S51" s="2"/>
    </row>
    <row r="52" spans="1:19" x14ac:dyDescent="0.25">
      <c r="A52" s="2"/>
      <c r="B52" s="38"/>
      <c r="C52" s="42" t="s">
        <v>71</v>
      </c>
      <c r="D52" s="43">
        <f>'NR 2026'!G52</f>
        <v>5133.5000000000018</v>
      </c>
      <c r="E52" s="40"/>
      <c r="F52" s="2"/>
      <c r="G52" s="43">
        <f>'NR 2026'!M52</f>
        <v>1439.8</v>
      </c>
      <c r="H52" s="2"/>
      <c r="I52" s="2"/>
      <c r="J52" s="43">
        <f>'NR 2026'!Y52</f>
        <v>1182</v>
      </c>
      <c r="K52" s="2"/>
      <c r="L52" s="108"/>
      <c r="M52" s="43">
        <v>1356</v>
      </c>
      <c r="N52" s="108"/>
      <c r="O52" s="108"/>
      <c r="P52" s="43">
        <v>1499</v>
      </c>
      <c r="Q52" s="2"/>
      <c r="R52" s="2"/>
      <c r="S52" s="2"/>
    </row>
    <row r="53" spans="1:19" x14ac:dyDescent="0.25">
      <c r="A53" s="2"/>
      <c r="B53" s="38"/>
      <c r="C53" s="42" t="s">
        <v>72</v>
      </c>
      <c r="D53" s="43">
        <f>'NR 2026'!G53</f>
        <v>643.5</v>
      </c>
      <c r="E53" s="40"/>
      <c r="F53" s="2"/>
      <c r="G53" s="43">
        <f>'NR 2026'!M53</f>
        <v>1896</v>
      </c>
      <c r="H53" s="2"/>
      <c r="I53" s="2"/>
      <c r="J53" s="43">
        <f>'NR 2026'!Y53</f>
        <v>2514</v>
      </c>
      <c r="K53" s="2"/>
      <c r="L53" s="108"/>
      <c r="M53" s="43">
        <v>2500</v>
      </c>
      <c r="N53" s="108"/>
      <c r="O53" s="108"/>
      <c r="P53" s="43">
        <v>2800</v>
      </c>
      <c r="Q53" s="2"/>
      <c r="R53" s="2"/>
      <c r="S53" s="2"/>
    </row>
    <row r="54" spans="1:19" x14ac:dyDescent="0.25">
      <c r="A54" s="2"/>
      <c r="B54" s="38"/>
      <c r="C54" s="42" t="s">
        <v>88</v>
      </c>
      <c r="D54" s="43">
        <f>'NR 2026'!G54</f>
        <v>203.1</v>
      </c>
      <c r="E54" s="40"/>
      <c r="F54" s="2"/>
      <c r="G54" s="43">
        <f>'NR 2026'!M54</f>
        <v>220</v>
      </c>
      <c r="H54" s="2"/>
      <c r="I54" s="2"/>
      <c r="J54" s="43">
        <f>'NR 2026'!Y54</f>
        <v>212</v>
      </c>
      <c r="K54" s="2"/>
      <c r="L54" s="108"/>
      <c r="M54" s="43">
        <v>218</v>
      </c>
      <c r="N54" s="108"/>
      <c r="O54" s="108"/>
      <c r="P54" s="43">
        <v>235</v>
      </c>
      <c r="Q54" s="2"/>
      <c r="R54" s="2"/>
      <c r="S54" s="2"/>
    </row>
    <row r="55" spans="1:19" x14ac:dyDescent="0.25">
      <c r="A55" s="2"/>
      <c r="B55" s="38"/>
      <c r="C55" s="95" t="s">
        <v>89</v>
      </c>
      <c r="D55" s="43">
        <f>'NR 2026'!G55</f>
        <v>90.499999999999886</v>
      </c>
      <c r="E55" s="40"/>
      <c r="F55" s="2"/>
      <c r="G55" s="43">
        <f>'NR 2026'!M55</f>
        <v>130</v>
      </c>
      <c r="H55" s="2"/>
      <c r="I55" s="2"/>
      <c r="J55" s="43">
        <f>'NR 2026'!Y55</f>
        <v>170.29999999999995</v>
      </c>
      <c r="K55" s="2"/>
      <c r="L55" s="108"/>
      <c r="M55" s="43">
        <v>175</v>
      </c>
      <c r="N55" s="108"/>
      <c r="O55" s="108"/>
      <c r="P55" s="43">
        <v>182</v>
      </c>
      <c r="Q55" s="2"/>
      <c r="R55" s="2"/>
      <c r="S55" s="2"/>
    </row>
    <row r="56" spans="1:19" ht="10.5" customHeight="1" x14ac:dyDescent="0.25">
      <c r="A56" s="2"/>
      <c r="B56" s="38"/>
      <c r="C56" s="39"/>
      <c r="D56" s="40"/>
      <c r="E56" s="4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38"/>
      <c r="C57" s="64" t="s">
        <v>136</v>
      </c>
      <c r="D57" s="65" t="s">
        <v>102</v>
      </c>
      <c r="E57" s="40"/>
      <c r="F57" s="41"/>
      <c r="G57" s="65" t="s">
        <v>97</v>
      </c>
      <c r="H57" s="40"/>
      <c r="I57" s="41"/>
      <c r="J57" s="65" t="s">
        <v>101</v>
      </c>
      <c r="K57" s="41"/>
      <c r="L57" s="2"/>
      <c r="M57" s="65" t="s">
        <v>100</v>
      </c>
      <c r="N57" s="58"/>
      <c r="O57" s="58"/>
      <c r="P57" s="65" t="s">
        <v>99</v>
      </c>
      <c r="Q57" s="2"/>
      <c r="R57" s="2"/>
      <c r="S57" s="2"/>
    </row>
    <row r="58" spans="1:19" x14ac:dyDescent="0.25">
      <c r="A58" s="2"/>
      <c r="B58" s="38"/>
      <c r="C58" s="200" t="s">
        <v>75</v>
      </c>
      <c r="D58" s="55">
        <v>70.8</v>
      </c>
      <c r="E58" s="40"/>
      <c r="F58" s="41"/>
      <c r="G58" s="55">
        <f>'NR 2026'!J58</f>
        <v>70.7</v>
      </c>
      <c r="H58" s="40"/>
      <c r="I58" s="41"/>
      <c r="J58" s="55">
        <f>'NR 2026'!Y58</f>
        <v>72.5</v>
      </c>
      <c r="K58" s="41"/>
      <c r="L58" s="2"/>
      <c r="M58" s="55">
        <v>72.8</v>
      </c>
      <c r="N58" s="2"/>
      <c r="O58" s="2"/>
      <c r="P58" s="55">
        <v>62.8</v>
      </c>
      <c r="Q58" s="2"/>
      <c r="R58" s="2"/>
      <c r="S58" s="2"/>
    </row>
    <row r="59" spans="1:19" x14ac:dyDescent="0.25">
      <c r="A59" s="2"/>
      <c r="B59" s="38"/>
      <c r="C59" s="193" t="s">
        <v>135</v>
      </c>
      <c r="D59" s="55">
        <v>19.5</v>
      </c>
      <c r="E59" s="40"/>
      <c r="F59" s="41"/>
      <c r="G59" s="55">
        <v>19</v>
      </c>
      <c r="H59" s="40"/>
      <c r="I59" s="41"/>
      <c r="J59" s="55">
        <f>'NR 2026'!Y59</f>
        <v>19.2</v>
      </c>
      <c r="K59" s="41"/>
      <c r="L59" s="2"/>
      <c r="M59" s="55">
        <f>J59</f>
        <v>19.2</v>
      </c>
      <c r="N59" s="2"/>
      <c r="O59" s="2"/>
      <c r="P59" s="55">
        <v>10.199999999999999</v>
      </c>
      <c r="Q59" s="2"/>
      <c r="R59" s="2"/>
      <c r="S59" s="2"/>
    </row>
    <row r="60" spans="1:19" s="2" customFormat="1" x14ac:dyDescent="0.25">
      <c r="B60" s="38"/>
      <c r="C60" s="198"/>
      <c r="D60" s="199"/>
      <c r="E60" s="59"/>
      <c r="F60" s="40"/>
      <c r="G60" s="41"/>
      <c r="H60" s="59"/>
      <c r="I60" s="41"/>
      <c r="K60" s="59"/>
      <c r="N60" s="59"/>
    </row>
    <row r="61" spans="1:19" s="2" customFormat="1" x14ac:dyDescent="0.25">
      <c r="B61" s="38"/>
      <c r="C61" s="196" t="s">
        <v>145</v>
      </c>
      <c r="D61" s="65" t="s">
        <v>102</v>
      </c>
      <c r="E61" s="59"/>
      <c r="F61" s="40"/>
      <c r="G61" s="65" t="s">
        <v>97</v>
      </c>
      <c r="H61" s="40"/>
      <c r="I61" s="41"/>
      <c r="J61" s="65" t="s">
        <v>101</v>
      </c>
      <c r="K61" s="41"/>
      <c r="M61" s="65" t="s">
        <v>100</v>
      </c>
      <c r="N61" s="58"/>
      <c r="O61" s="58"/>
      <c r="P61" s="65" t="s">
        <v>99</v>
      </c>
    </row>
    <row r="62" spans="1:19" s="2" customFormat="1" x14ac:dyDescent="0.25">
      <c r="B62" s="38"/>
      <c r="C62" s="194" t="s">
        <v>126</v>
      </c>
      <c r="D62" s="192">
        <v>0</v>
      </c>
      <c r="E62" s="59"/>
      <c r="F62" s="40"/>
      <c r="G62" s="192">
        <v>0</v>
      </c>
      <c r="H62" s="59"/>
      <c r="I62" s="41"/>
      <c r="J62" s="192">
        <f>'NR 2026'!Y67</f>
        <v>6046.4</v>
      </c>
      <c r="K62" s="59"/>
      <c r="M62" s="192">
        <f>J62*1.05</f>
        <v>6348.72</v>
      </c>
      <c r="N62" s="59"/>
      <c r="P62" s="192">
        <f>M62</f>
        <v>6348.72</v>
      </c>
    </row>
    <row r="63" spans="1:19" s="2" customFormat="1" x14ac:dyDescent="0.25">
      <c r="B63" s="38"/>
      <c r="C63" s="194" t="s">
        <v>127</v>
      </c>
      <c r="D63" s="192">
        <v>0</v>
      </c>
      <c r="E63" s="59"/>
      <c r="F63" s="40"/>
      <c r="G63" s="192">
        <v>0</v>
      </c>
      <c r="H63" s="59"/>
      <c r="I63" s="41"/>
      <c r="J63" s="192">
        <f>'NR 2026'!Y68</f>
        <v>2294.4</v>
      </c>
      <c r="K63" s="59"/>
      <c r="M63" s="192">
        <f t="shared" ref="M63:M65" si="21">J63*1.05</f>
        <v>2409.1200000000003</v>
      </c>
      <c r="N63" s="59"/>
      <c r="P63" s="192">
        <f t="shared" ref="P63:P65" si="22">M63</f>
        <v>2409.1200000000003</v>
      </c>
    </row>
    <row r="64" spans="1:19" s="2" customFormat="1" x14ac:dyDescent="0.25">
      <c r="B64" s="38"/>
      <c r="C64" s="194" t="s">
        <v>128</v>
      </c>
      <c r="D64" s="192">
        <v>0</v>
      </c>
      <c r="E64" s="59"/>
      <c r="F64" s="40"/>
      <c r="G64" s="192">
        <v>0</v>
      </c>
      <c r="H64" s="59"/>
      <c r="I64" s="41"/>
      <c r="J64" s="192">
        <f>'NR 2026'!Y69</f>
        <v>155</v>
      </c>
      <c r="K64" s="59"/>
      <c r="M64" s="192">
        <f t="shared" si="21"/>
        <v>162.75</v>
      </c>
      <c r="N64" s="59"/>
      <c r="P64" s="192">
        <f t="shared" si="22"/>
        <v>162.75</v>
      </c>
    </row>
    <row r="65" spans="1:19" s="2" customFormat="1" x14ac:dyDescent="0.25">
      <c r="B65" s="38"/>
      <c r="C65" s="194" t="s">
        <v>130</v>
      </c>
      <c r="D65" s="192">
        <v>0</v>
      </c>
      <c r="E65" s="59"/>
      <c r="F65" s="40"/>
      <c r="G65" s="192">
        <v>0</v>
      </c>
      <c r="H65" s="59"/>
      <c r="I65" s="41"/>
      <c r="J65" s="192">
        <f>'NR 2026'!Y70</f>
        <v>60.5</v>
      </c>
      <c r="K65" s="59"/>
      <c r="M65" s="192">
        <f t="shared" si="21"/>
        <v>63.525000000000006</v>
      </c>
      <c r="N65" s="59"/>
      <c r="P65" s="192">
        <f t="shared" si="22"/>
        <v>63.525000000000006</v>
      </c>
    </row>
    <row r="66" spans="1:19" s="2" customFormat="1" x14ac:dyDescent="0.25">
      <c r="B66" s="38"/>
      <c r="C66" s="194" t="s">
        <v>129</v>
      </c>
      <c r="D66" s="54">
        <f>SUM(D67,D68,D69,D70)</f>
        <v>0</v>
      </c>
      <c r="E66" s="59"/>
      <c r="F66" s="40"/>
      <c r="G66" s="54">
        <f>SUM(G67:G70)</f>
        <v>0</v>
      </c>
      <c r="H66" s="59"/>
      <c r="I66" s="41"/>
      <c r="J66" s="54">
        <f>SUM(J67:J70)</f>
        <v>690</v>
      </c>
      <c r="K66" s="59"/>
      <c r="M66" s="54">
        <v>695</v>
      </c>
      <c r="N66" s="59"/>
      <c r="P66" s="54">
        <f>SUM(P67:P70)</f>
        <v>695</v>
      </c>
    </row>
    <row r="67" spans="1:19" s="2" customFormat="1" x14ac:dyDescent="0.25">
      <c r="B67" s="38"/>
      <c r="C67" s="195" t="s">
        <v>134</v>
      </c>
      <c r="D67" s="192">
        <v>0</v>
      </c>
      <c r="E67" s="59"/>
      <c r="F67" s="40"/>
      <c r="G67" s="192">
        <v>0</v>
      </c>
      <c r="H67" s="59"/>
      <c r="I67" s="41"/>
      <c r="J67" s="192">
        <f>'NR 2026'!Y72</f>
        <v>500</v>
      </c>
      <c r="K67" s="59"/>
      <c r="M67" s="192">
        <v>495</v>
      </c>
      <c r="N67" s="59"/>
      <c r="P67" s="192">
        <f>M67</f>
        <v>495</v>
      </c>
    </row>
    <row r="68" spans="1:19" s="2" customFormat="1" x14ac:dyDescent="0.25">
      <c r="B68" s="38"/>
      <c r="C68" s="195" t="s">
        <v>131</v>
      </c>
      <c r="D68" s="192">
        <v>0</v>
      </c>
      <c r="E68" s="59"/>
      <c r="F68" s="40"/>
      <c r="G68" s="192">
        <v>0</v>
      </c>
      <c r="H68" s="59"/>
      <c r="I68" s="41"/>
      <c r="J68" s="192">
        <f>'NR 2026'!Y73</f>
        <v>50</v>
      </c>
      <c r="K68" s="59"/>
      <c r="M68" s="192">
        <v>50</v>
      </c>
      <c r="N68" s="59"/>
      <c r="P68" s="192">
        <f t="shared" ref="P68:P70" si="23">M68</f>
        <v>50</v>
      </c>
    </row>
    <row r="69" spans="1:19" s="2" customFormat="1" x14ac:dyDescent="0.25">
      <c r="B69" s="38"/>
      <c r="C69" s="195" t="s">
        <v>132</v>
      </c>
      <c r="D69" s="192">
        <v>0</v>
      </c>
      <c r="E69" s="59"/>
      <c r="F69" s="40"/>
      <c r="G69" s="192">
        <v>0</v>
      </c>
      <c r="H69" s="59"/>
      <c r="I69" s="41"/>
      <c r="J69" s="192">
        <f>'NR 2026'!Y74</f>
        <v>90</v>
      </c>
      <c r="K69" s="59"/>
      <c r="M69" s="192">
        <v>90</v>
      </c>
      <c r="N69" s="59"/>
      <c r="P69" s="192">
        <f t="shared" si="23"/>
        <v>90</v>
      </c>
    </row>
    <row r="70" spans="1:19" s="2" customFormat="1" x14ac:dyDescent="0.25">
      <c r="B70" s="38"/>
      <c r="C70" s="195" t="s">
        <v>133</v>
      </c>
      <c r="D70" s="192">
        <v>0</v>
      </c>
      <c r="E70" s="59"/>
      <c r="F70" s="40"/>
      <c r="G70" s="192">
        <v>0</v>
      </c>
      <c r="H70" s="59"/>
      <c r="I70" s="41"/>
      <c r="J70" s="192">
        <f>'NR 2026'!Y75</f>
        <v>50</v>
      </c>
      <c r="K70" s="59"/>
      <c r="M70" s="192">
        <v>60</v>
      </c>
      <c r="N70" s="59"/>
      <c r="P70" s="192">
        <f t="shared" si="23"/>
        <v>60</v>
      </c>
    </row>
    <row r="71" spans="1:19" s="2" customFormat="1" x14ac:dyDescent="0.25">
      <c r="B71" s="38"/>
      <c r="C71" s="39" t="s">
        <v>41</v>
      </c>
      <c r="D71" s="40">
        <f>SUM(D62:D66)</f>
        <v>0</v>
      </c>
      <c r="E71" s="59"/>
      <c r="F71" s="40"/>
      <c r="G71" s="40">
        <f>SUM(G62:G66)</f>
        <v>0</v>
      </c>
      <c r="H71" s="59"/>
      <c r="I71" s="41"/>
      <c r="J71" s="40">
        <f>SUM(J62:J66)</f>
        <v>9246.2999999999993</v>
      </c>
      <c r="K71" s="59"/>
      <c r="M71" s="40">
        <f>SUM(M62:M66)</f>
        <v>9679.1149999999998</v>
      </c>
      <c r="N71" s="59"/>
      <c r="P71" s="40">
        <f>SUM(P62:P66)</f>
        <v>9679.1149999999998</v>
      </c>
    </row>
    <row r="72" spans="1:19" s="2" customFormat="1" x14ac:dyDescent="0.25">
      <c r="B72" s="38"/>
      <c r="C72" s="39"/>
      <c r="D72" s="40"/>
      <c r="E72" s="40"/>
      <c r="F72" s="41"/>
      <c r="G72" s="40"/>
      <c r="H72" s="40"/>
      <c r="I72" s="41"/>
      <c r="J72" s="41"/>
      <c r="K72" s="41"/>
    </row>
    <row r="73" spans="1:19" x14ac:dyDescent="0.25">
      <c r="A73" s="2"/>
      <c r="B73" s="67" t="s">
        <v>108</v>
      </c>
      <c r="C73" s="66"/>
      <c r="D73" s="293"/>
      <c r="E73" s="293"/>
      <c r="F73" s="293"/>
      <c r="G73" s="293"/>
      <c r="H73" s="293"/>
      <c r="I73" s="293"/>
      <c r="J73" s="293"/>
      <c r="K73" s="293"/>
      <c r="L73" s="113"/>
      <c r="M73" s="113"/>
      <c r="N73" s="113"/>
      <c r="O73" s="113"/>
      <c r="P73" s="113"/>
      <c r="Q73" s="113"/>
      <c r="R73" s="114"/>
      <c r="S73" s="2"/>
    </row>
    <row r="74" spans="1:19" x14ac:dyDescent="0.25">
      <c r="A74" s="2"/>
      <c r="B74" s="87" t="s">
        <v>146</v>
      </c>
      <c r="G74"/>
      <c r="R74" s="88"/>
      <c r="S74" s="2"/>
    </row>
    <row r="75" spans="1:19" x14ac:dyDescent="0.25">
      <c r="A75" s="2"/>
      <c r="B75" s="379"/>
      <c r="C75" s="337"/>
      <c r="D75" s="337"/>
      <c r="E75" s="337"/>
      <c r="F75" s="337"/>
      <c r="G75" s="337"/>
      <c r="H75" s="337"/>
      <c r="I75" s="337"/>
      <c r="J75" s="337"/>
      <c r="K75" s="337"/>
      <c r="R75" s="88"/>
      <c r="S75" s="2"/>
    </row>
    <row r="76" spans="1:19" x14ac:dyDescent="0.25">
      <c r="A76" s="2"/>
      <c r="B76" s="379" t="s">
        <v>154</v>
      </c>
      <c r="C76" s="337"/>
      <c r="D76" s="337"/>
      <c r="E76" s="337"/>
      <c r="F76" s="337"/>
      <c r="G76" s="337"/>
      <c r="H76" s="337"/>
      <c r="I76" s="337"/>
      <c r="J76" s="337"/>
      <c r="K76" s="337"/>
      <c r="R76" s="88"/>
      <c r="S76" s="2"/>
    </row>
    <row r="77" spans="1:19" x14ac:dyDescent="0.25">
      <c r="A77" s="2"/>
      <c r="B77" s="100"/>
      <c r="C77" s="99"/>
      <c r="D77" s="101"/>
      <c r="E77" s="101"/>
      <c r="F77" s="101"/>
      <c r="G77" s="101"/>
      <c r="H77" s="101"/>
      <c r="I77" s="101"/>
      <c r="J77" s="101"/>
      <c r="K77" s="101"/>
      <c r="L77" s="2"/>
      <c r="M77" s="2"/>
      <c r="N77" s="2"/>
      <c r="O77" s="2"/>
      <c r="P77" s="2"/>
      <c r="Q77" s="2"/>
      <c r="R77" s="2"/>
      <c r="S77" s="2"/>
    </row>
    <row r="78" spans="1:19" x14ac:dyDescent="0.25">
      <c r="A78" s="2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2"/>
      <c r="M78" s="2"/>
      <c r="N78" s="2"/>
      <c r="O78" s="2"/>
      <c r="P78" s="2"/>
      <c r="Q78" s="2"/>
      <c r="R78" s="2"/>
      <c r="S78" s="2"/>
    </row>
    <row r="79" spans="1:19" x14ac:dyDescent="0.25">
      <c r="A79" s="2"/>
      <c r="B79" s="44" t="s">
        <v>81</v>
      </c>
      <c r="C79" s="86" t="s">
        <v>162</v>
      </c>
      <c r="D79" s="56"/>
      <c r="E79" s="44"/>
      <c r="F79" s="44" t="s">
        <v>78</v>
      </c>
      <c r="G79" s="338" t="s">
        <v>155</v>
      </c>
      <c r="H79" s="338"/>
      <c r="I79" s="338"/>
      <c r="J79" s="338"/>
      <c r="K79" s="44"/>
      <c r="L79" s="2"/>
      <c r="M79" s="2"/>
      <c r="N79" s="2"/>
      <c r="O79" s="2"/>
      <c r="P79" s="2"/>
      <c r="Q79" s="2"/>
      <c r="R79" s="2"/>
      <c r="S79" s="2"/>
    </row>
    <row r="80" spans="1:19" ht="7.5" customHeight="1" x14ac:dyDescent="0.25">
      <c r="A80" s="2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2"/>
      <c r="M80" s="2"/>
      <c r="N80" s="2"/>
      <c r="O80" s="2"/>
      <c r="P80" s="2"/>
      <c r="Q80" s="2"/>
      <c r="R80" s="2"/>
      <c r="S80" s="2"/>
    </row>
    <row r="81" spans="1:19" x14ac:dyDescent="0.25">
      <c r="A81" s="2"/>
      <c r="B81" s="44"/>
      <c r="C81" s="44"/>
      <c r="D81" s="46"/>
      <c r="E81" s="44"/>
      <c r="F81" s="44" t="s">
        <v>80</v>
      </c>
      <c r="G81" s="45"/>
      <c r="H81" s="44"/>
      <c r="I81" s="44"/>
      <c r="J81" s="44"/>
      <c r="K81" s="44"/>
      <c r="L81" s="2"/>
      <c r="M81" s="2"/>
      <c r="N81" s="2"/>
      <c r="O81" s="2"/>
      <c r="P81" s="2"/>
      <c r="Q81" s="2"/>
      <c r="R81" s="2"/>
      <c r="S81" s="2"/>
    </row>
    <row r="82" spans="1:19" x14ac:dyDescent="0.25">
      <c r="A82" s="2"/>
      <c r="B82" s="44"/>
      <c r="C82" s="44"/>
      <c r="D82" s="46"/>
      <c r="E82" s="44"/>
      <c r="F82" s="44"/>
      <c r="G82" s="45"/>
      <c r="H82" s="44"/>
      <c r="I82" s="44"/>
      <c r="J82" s="44"/>
      <c r="K82" s="44"/>
      <c r="L82" s="2"/>
      <c r="M82" s="2"/>
      <c r="N82" s="2"/>
      <c r="O82" s="2"/>
      <c r="P82" s="2"/>
      <c r="Q82" s="2"/>
      <c r="R82" s="2"/>
      <c r="S82" s="2"/>
    </row>
    <row r="83" spans="1:19" x14ac:dyDescent="0.25">
      <c r="A83" s="2"/>
      <c r="B83" s="100"/>
      <c r="C83" s="99"/>
      <c r="D83" s="101"/>
      <c r="E83" s="101"/>
      <c r="F83" s="101"/>
      <c r="G83" s="101"/>
      <c r="H83" s="101"/>
      <c r="I83" s="101"/>
      <c r="J83" s="101"/>
      <c r="K83" s="101"/>
      <c r="L83" s="2"/>
      <c r="M83" s="2"/>
      <c r="N83" s="2"/>
      <c r="O83" s="2"/>
      <c r="P83" s="2"/>
      <c r="Q83" s="2"/>
      <c r="R83" s="2"/>
      <c r="S83" s="2"/>
    </row>
    <row r="89" spans="1:19" x14ac:dyDescent="0.25"/>
    <row r="90" spans="1:19" x14ac:dyDescent="0.25"/>
    <row r="91" spans="1:19" x14ac:dyDescent="0.25"/>
    <row r="92" spans="1:19" x14ac:dyDescent="0.25"/>
    <row r="93" spans="1:19" x14ac:dyDescent="0.25"/>
    <row r="94" spans="1:19" x14ac:dyDescent="0.25"/>
    <row r="95" spans="1:19" x14ac:dyDescent="0.25"/>
    <row r="96" spans="1:19" x14ac:dyDescent="0.25"/>
    <row r="100" ht="15" hidden="1" customHeight="1" x14ac:dyDescent="0.25"/>
    <row r="114" ht="15" hidden="1" customHeight="1" x14ac:dyDescent="0.25"/>
    <row r="115" ht="15" hidden="1" customHeight="1" x14ac:dyDescent="0.25"/>
  </sheetData>
  <mergeCells count="57">
    <mergeCell ref="G79:J79"/>
    <mergeCell ref="D4:U4"/>
    <mergeCell ref="D8:U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B76:K76"/>
    <mergeCell ref="D73:K73"/>
    <mergeCell ref="B75:K75"/>
    <mergeCell ref="B27:B28"/>
    <mergeCell ref="G27:G28"/>
    <mergeCell ref="H27:H28"/>
    <mergeCell ref="I27:I28"/>
    <mergeCell ref="C44:C45"/>
    <mergeCell ref="C47:C48"/>
    <mergeCell ref="C27:C28"/>
    <mergeCell ref="D27:D28"/>
    <mergeCell ref="F27:F28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D12:F12"/>
    <mergeCell ref="D10:F10"/>
    <mergeCell ref="G13:G14"/>
    <mergeCell ref="C13:C14"/>
    <mergeCell ref="F13:F14"/>
    <mergeCell ref="D13:D14"/>
    <mergeCell ref="M27:M28"/>
    <mergeCell ref="N27:N28"/>
    <mergeCell ref="O27:O28"/>
    <mergeCell ref="P26:R26"/>
    <mergeCell ref="P27:P28"/>
    <mergeCell ref="Q27:Q28"/>
    <mergeCell ref="R27:R28"/>
    <mergeCell ref="M26:O26"/>
    <mergeCell ref="E27:E28"/>
    <mergeCell ref="L13:L14"/>
    <mergeCell ref="J26:L26"/>
    <mergeCell ref="E13:E14"/>
    <mergeCell ref="D26:F26"/>
    <mergeCell ref="H13:H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2025-09-22T12:53:53Z</cp:lastPrinted>
  <dcterms:created xsi:type="dcterms:W3CDTF">2017-02-23T12:10:09Z</dcterms:created>
  <dcterms:modified xsi:type="dcterms:W3CDTF">2025-10-17T06:34:57Z</dcterms:modified>
</cp:coreProperties>
</file>