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3A84D057-72C4-4AB7-BB28-C2D20B3EACD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NR 2026" sheetId="3" r:id="rId1"/>
  </sheets>
  <definedNames>
    <definedName name="_xlnm.Print_Area" localSheetId="0">'NR 2026'!$A$1:$AC$118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3" l="1"/>
  <c r="D39" i="3" l="1"/>
  <c r="W19" i="3" l="1"/>
  <c r="W36" i="3"/>
  <c r="W34" i="3"/>
  <c r="W33" i="3" s="1"/>
  <c r="X33" i="3"/>
  <c r="V33" i="3"/>
  <c r="V39" i="3"/>
  <c r="W51" i="3" l="1"/>
  <c r="X51" i="3"/>
  <c r="V51" i="3"/>
  <c r="F36" i="3" l="1"/>
  <c r="F33" i="3"/>
  <c r="D33" i="3"/>
  <c r="E33" i="3"/>
  <c r="R39" i="3" l="1"/>
  <c r="R22" i="3"/>
  <c r="Q39" i="3"/>
  <c r="Q36" i="3"/>
  <c r="R33" i="3"/>
  <c r="R36" i="3"/>
  <c r="Q34" i="3"/>
  <c r="Q33" i="3" s="1"/>
  <c r="R32" i="3"/>
  <c r="Q32" i="3"/>
  <c r="P32" i="3"/>
  <c r="P31" i="3" l="1"/>
  <c r="R38" i="3"/>
  <c r="P38" i="3"/>
  <c r="R51" i="3"/>
  <c r="Q52" i="3"/>
  <c r="Q51" i="3" s="1"/>
  <c r="P52" i="3"/>
  <c r="P51" i="3" s="1"/>
  <c r="Q19" i="3"/>
  <c r="R20" i="3"/>
  <c r="K51" i="3" l="1"/>
  <c r="L51" i="3"/>
  <c r="J51" i="3"/>
  <c r="F51" i="3" l="1"/>
  <c r="E52" i="3"/>
  <c r="E51" i="3" s="1"/>
  <c r="D52" i="3"/>
  <c r="D51" i="3" s="1"/>
  <c r="G20" i="3"/>
  <c r="G21" i="3"/>
  <c r="G23" i="3"/>
  <c r="G24" i="3"/>
  <c r="F22" i="3"/>
  <c r="G22" i="3" s="1"/>
  <c r="G15" i="3"/>
  <c r="G16" i="3"/>
  <c r="D17" i="3"/>
  <c r="D25" i="3" l="1"/>
  <c r="D40" i="3" l="1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Y40" i="3" l="1"/>
  <c r="Y51" i="3"/>
  <c r="U25" i="3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R41" i="3"/>
  <c r="T41" i="3"/>
  <c r="S40" i="3"/>
  <c r="Q41" i="3"/>
  <c r="U40" i="3"/>
  <c r="P41" i="3"/>
  <c r="G29" i="3"/>
  <c r="AA25" i="3" l="1"/>
  <c r="AA40" i="3"/>
  <c r="Y41" i="3"/>
  <c r="S41" i="3"/>
  <c r="U41" i="3"/>
  <c r="G39" i="3"/>
  <c r="AA41" i="3" l="1"/>
  <c r="AA42" i="3" s="1"/>
  <c r="U42" i="3"/>
  <c r="G19" i="3"/>
  <c r="G52" i="3" l="1"/>
  <c r="G53" i="3"/>
  <c r="M53" i="3" s="1"/>
  <c r="M52" i="3" l="1"/>
  <c r="M51" i="3" s="1"/>
  <c r="G51" i="3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I32" i="3" s="1"/>
  <c r="G33" i="3"/>
  <c r="G34" i="3"/>
  <c r="G35" i="3"/>
  <c r="G37" i="3"/>
  <c r="G38" i="3"/>
  <c r="I29" i="3"/>
  <c r="G31" i="3"/>
  <c r="I15" i="3"/>
  <c r="G17" i="3"/>
  <c r="I19" i="3"/>
  <c r="I21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25" i="3" s="1"/>
  <c r="I37" i="3"/>
  <c r="I33" i="3"/>
  <c r="O29" i="3"/>
  <c r="AB29" i="3" s="1"/>
  <c r="O33" i="3"/>
  <c r="AB33" i="3" s="1"/>
  <c r="I23" i="3"/>
  <c r="I31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<sst xmlns="http://schemas.openxmlformats.org/spreadsheetml/2006/main" count="253" uniqueCount="162">
  <si>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</si>
  <si>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</si>
  <si>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</si>
  <si>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</si>
  <si>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</si>
  <si>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</si>
  <si>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</si>
  <si>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</si>
  <si>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</si>
  <si>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</si>
  <si>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</si>
  <si>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</si>
  <si>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</si>
  <si>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</si>
  <si>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</si>
  <si>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</si>
  <si>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</si>
  <si>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</si>
  <si>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</si>
  <si>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</si>
  <si>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</si>
  <si>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</si>
  <si>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</si>
  <si>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</si>
  <si>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</si>
  <si>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</si>
  <si>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</si>
  <si>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</si>
  <si>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</si>
  <si>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</si>
  <si>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</si>
  <si>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</si>
  <si>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</si>
  <si>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</si>
  <si>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</si>
  <si>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</si>
  <si>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</si>
  <si>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</si>
  <si>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</si>
  <si>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</si>
  <si>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</si>
  <si>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</si>
  <si>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</si>
  <si>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</si>
  <si>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</si>
  <si>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</si>
  <si>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</si>
  <si>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</si>
  <si>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</si>
  <si>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</si>
  <si>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</si>
  <si>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</si>
  <si>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</si>
  <si>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</si>
  <si>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</si>
  <si>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</si>
  <si>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</si>
  <si>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</si>
  <si>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</si>
  <si>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</si>
  <si>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</si>
  <si>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</si>
  <si>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</si>
  <si>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</si>
  <si>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</si>
  <si>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</si>
  <si>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</si>
  <si>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</si>
  <si>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</si>
  <si>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</si>
  <si>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</si>
  <si>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</si>
  <si>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</si>
  <si>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</si>
  <si>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</si>
  <si>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</si>
  <si>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</si>
  <si>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</si>
  <si>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</si>
  <si>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</si>
  <si>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</si>
  <si>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</si>
  <si>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</si>
  <si>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</si>
  <si>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</si>
  <si>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</si>
  <si>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</si>
  <si>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</si>
  <si>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</si>
  <si>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</si>
  <si>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</si>
  <si>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</si>
  <si>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</si>
  <si>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</si>
  <si>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</si>
  <si>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</si>
  <si>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</si>
  <si>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</si>
  <si>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</si>
  <si>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</si>
  <si>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</si>
  <si>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</si>
  <si>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</si>
  <si>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</si>
  <si>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</si>
  <si>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</si>
  <si>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</si>
  <si>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</si>
  <si>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</si>
  <si>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</si>
  <si>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</si>
  <si>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</si>
  <si>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</si>
  <si>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</si>
  <si>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</si>
  <si>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</si>
  <si>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- z toho nepedagogiští pracovníci</t>
  </si>
  <si>
    <t>Středisko volného času Domeček Chomutov, příspěvková organizace</t>
  </si>
  <si>
    <t>Jiráskova 4140, 430 03  Chomutov</t>
  </si>
  <si>
    <t>Skutečnost k 31.12.2024 - neinvestiční příspěvek zřizovatele:</t>
  </si>
  <si>
    <t>502 330 - spotřeba energie - vodné  14.338 Kč</t>
  </si>
  <si>
    <t>502 331 - spotřeba energie - elektřina 360.313 Kč</t>
  </si>
  <si>
    <t>518 330 - služby pošt - 1.763 Kč</t>
  </si>
  <si>
    <t>518 332 - telefonní poplatky - 41.413 Kč</t>
  </si>
  <si>
    <t>518 334 - revize a odborné prohlídky - 49.961 Kč</t>
  </si>
  <si>
    <t>518 335 - zpracování mezd - 71.412 Kč</t>
  </si>
  <si>
    <t>518 336 - zámečnické, montážní služby apod - 91.368 Kč</t>
  </si>
  <si>
    <t>518 338 - servis PC sítě, Gordic, Domeček - 97.146 Kč</t>
  </si>
  <si>
    <t>518 339 - Konzultační, poradenské a právní služby - 41.140 Kč</t>
  </si>
  <si>
    <t>518 341 - likvidace odpadu - 13.706 Kč</t>
  </si>
  <si>
    <t>518 343 - PCOO - 14.520 Kč</t>
  </si>
  <si>
    <t>518 345 - pronájem kamerového systému - 16.698 Kč</t>
  </si>
  <si>
    <t>518 346 - kopírování - 24.200 Kč</t>
  </si>
  <si>
    <t>518 348 - nájemné (prostory pro akce školy) - 140.267 Kč</t>
  </si>
  <si>
    <t>518 353 - bankovní poplatky - 22.300 Kč</t>
  </si>
  <si>
    <t>518 355 - BPZP a PO - 19.200 Kč</t>
  </si>
  <si>
    <t>518 370 - ošetření zvířat - 1.542 Kč</t>
  </si>
  <si>
    <t>518 380 - stočné - 71.256 Kč</t>
  </si>
  <si>
    <t>521 300 - mzdy - 101.000 Kč</t>
  </si>
  <si>
    <t>591 300 - daň z příjmu (banka) - 16.624 Kč                                            celkem daň z příjmu 16.624 Kč</t>
  </si>
  <si>
    <t>501 390 - věcné odměny projekty - 33.000 Kč                                               celkem materiál 33.000 Kč</t>
  </si>
  <si>
    <t>502 333 - spotřeba energie - teplo 659.187 Kč                                         celkem energie 1.033.839 Kč</t>
  </si>
  <si>
    <t xml:space="preserve">527 300 - příděl FKSP - 1.010 Kč                                                                             celkem FKSP - 1.010 Kč                                                </t>
  </si>
  <si>
    <t>524 330, 331 - ZP, SP -  34.138 Kč                                                                       celkem odvody 34.138 Kč</t>
  </si>
  <si>
    <t>521 332 - dohody - 12.000 Kč                                                                               celkem mzdy 113.000 Kč</t>
  </si>
  <si>
    <t>551 331,332 - odpisy budova, hřiště - 205.332 Kč                                         celkem odpisy 205.332 Kč</t>
  </si>
  <si>
    <t>V účetnictví proúčtováno na účet 518 364 omylem částka 65.100 Kč, tato částka nepatři do nákladů zřizovatele.</t>
  </si>
  <si>
    <t xml:space="preserve">518 364 - ostatní služby - reklama, startovné, propagace - 199.899                       </t>
  </si>
  <si>
    <t>518 390 - srážky - 16.001 Kč                                                                                celkem služby 933,798 Kč</t>
  </si>
  <si>
    <t>511 341  - opravy prostor budova - 1.000.000 Kč                                       celkem opravy - 1.000.000.Kč</t>
  </si>
  <si>
    <t>zřizovatele.</t>
  </si>
  <si>
    <t>I vzhledem ke skutečnosti, že provozní příspěvek zřizovatele za rok 2024 nám nepokryl uvedené náklady na provoz, nepožadujeme pro rok 2026 navýšení provozního příspěvku</t>
  </si>
  <si>
    <t>Limit mzdových prostředků (nepedagogičtí prac.)</t>
  </si>
  <si>
    <t>2026   - ÚZ 707 - nepedagogičtí pracovníci + ONIV</t>
  </si>
  <si>
    <t>Plán 2026</t>
  </si>
  <si>
    <t>Objem</t>
  </si>
  <si>
    <t>Osobní příplatky</t>
  </si>
  <si>
    <t>Příplatky za vedení</t>
  </si>
  <si>
    <t>Odměny</t>
  </si>
  <si>
    <t>- ostatní osobní náklady (DPP,DPČ aj.)</t>
  </si>
  <si>
    <t>Limit mzdových prostředků (pedagogičtí prac.)</t>
  </si>
  <si>
    <t>CELKEM limit mzdových prostředků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</si>
</sst>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#,##0.0_ ;\-#,##0.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20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49" fontId="0" fillId="0" borderId="1" xfId="0" applyNumberFormat="1" applyFont="1" applyFill="1" applyBorder="1" applyProtection="1"/>
    <xf numFmtId="0" fontId="7" fillId="4" borderId="50" xfId="0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67" fontId="0" fillId="0" borderId="49" xfId="0" applyNumberFormat="1" applyFont="1" applyBorder="1" applyAlignment="1" applyProtection="1">
      <protection locked="0"/>
    </xf>
    <xf numFmtId="0" fontId="0" fillId="0" borderId="8" xfId="0" applyFont="1" applyFill="1" applyBorder="1" applyAlignment="1" applyProtection="1">
      <protection locked="0"/>
    </xf>
    <xf numFmtId="0" fontId="0" fillId="0" borderId="52" xfId="0" applyFont="1" applyFill="1" applyBorder="1" applyAlignment="1" applyProtection="1">
      <protection locked="0"/>
    </xf>
    <xf numFmtId="0" fontId="20" fillId="0" borderId="52" xfId="0" applyFont="1" applyFill="1" applyBorder="1" applyAlignment="1" applyProtection="1">
      <protection locked="0"/>
    </xf>
    <xf numFmtId="0" fontId="20" fillId="0" borderId="0" xfId="0" applyFont="1" applyFill="1" applyBorder="1" applyAlignment="1" applyProtection="1"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52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0" fillId="0" borderId="43" xfId="0" applyFont="1" applyFill="1" applyBorder="1" applyAlignment="1" applyProtection="1">
      <alignment horizontal="left"/>
      <protection locked="0"/>
    </xf>
    <xf numFmtId="0" fontId="0" fillId="0" borderId="60" xfId="0" applyFont="1" applyFill="1" applyBorder="1" applyAlignment="1" applyProtection="1">
      <alignment horizontal="left"/>
      <protection locked="0"/>
    </xf>
    <xf numFmtId="0" fontId="0" fillId="0" borderId="22" xfId="0" applyFont="1" applyFill="1" applyBorder="1" applyAlignment="1" applyProtection="1">
      <alignment horizontal="left"/>
      <protection locked="0"/>
    </xf>
    <xf numFmtId="4" fontId="0" fillId="0" borderId="2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protection locked="0"/>
    </xf>
    <xf numFmtId="164" fontId="0" fillId="13" borderId="13" xfId="0" applyNumberFormat="1" applyFont="1" applyFill="1" applyBorder="1" applyAlignment="1" applyProtection="1">
      <alignment horizontal="right"/>
    </xf>
    <xf numFmtId="164" fontId="0" fillId="13" borderId="23" xfId="0" applyNumberFormat="1" applyFont="1" applyFill="1" applyBorder="1" applyAlignment="1" applyProtection="1">
      <alignment horizontal="right"/>
    </xf>
    <xf numFmtId="164" fontId="0" fillId="13" borderId="14" xfId="0" applyNumberFormat="1" applyFont="1" applyFill="1" applyBorder="1" applyAlignment="1" applyProtection="1">
      <alignment horizontal="right"/>
    </xf>
    <xf numFmtId="49" fontId="0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Protection="1">
      <protection locked="0"/>
    </xf>
    <xf numFmtId="4" fontId="0" fillId="8" borderId="0" xfId="0" applyNumberFormat="1" applyFill="1"/>
    <xf numFmtId="49" fontId="0" fillId="4" borderId="1" xfId="0" applyNumberFormat="1" applyFont="1" applyFill="1" applyBorder="1" applyAlignment="1" applyProtection="1">
      <alignment horizontal="left"/>
    </xf>
    <xf numFmtId="49" fontId="0" fillId="8" borderId="0" xfId="0" applyNumberFormat="1" applyFont="1" applyFill="1" applyBorder="1" applyAlignment="1" applyProtection="1">
      <alignment horizontal="left"/>
    </xf>
    <xf numFmtId="0" fontId="0" fillId="8" borderId="1" xfId="0" applyFill="1" applyBorder="1"/>
    <xf numFmtId="0" fontId="0" fillId="4" borderId="1" xfId="0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Protection="1">
      <protection locked="0"/>
    </xf>
    <xf numFmtId="0" fontId="0" fillId="13" borderId="1" xfId="0" applyFill="1" applyBorder="1"/>
    <xf numFmtId="49" fontId="0" fillId="13" borderId="1" xfId="0" applyNumberFormat="1" applyFont="1" applyFill="1" applyBorder="1" applyAlignment="1" applyProtection="1">
      <alignment horizontal="left"/>
    </xf>
    <xf numFmtId="4" fontId="0" fillId="13" borderId="1" xfId="0" applyNumberFormat="1" applyFill="1" applyBorder="1"/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0" fillId="0" borderId="22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49" fontId="0" fillId="13" borderId="43" xfId="0" applyNumberFormat="1" applyFill="1" applyBorder="1" applyAlignment="1">
      <alignment horizontal="left"/>
    </xf>
    <xf numFmtId="49" fontId="0" fillId="13" borderId="60" xfId="0" applyNumberFormat="1" applyFill="1" applyBorder="1" applyAlignment="1">
      <alignment horizontal="left"/>
    </xf>
    <xf numFmtId="49" fontId="0" fillId="13" borderId="2" xfId="0" applyNumberFormat="1" applyFill="1" applyBorder="1" applyAlignment="1">
      <alignment horizontal="left"/>
    </xf>
    <xf numFmtId="49" fontId="0" fillId="0" borderId="1" xfId="0" applyNumberFormat="1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0" fontId="1" fillId="12" borderId="1" xfId="0" applyFont="1" applyFill="1" applyBorder="1" applyAlignment="1" applyProtection="1">
      <alignment horizontal="left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49" fontId="1" fillId="13" borderId="43" xfId="0" applyNumberFormat="1" applyFont="1" applyFill="1" applyBorder="1" applyAlignment="1" applyProtection="1">
      <alignment horizontal="left"/>
    </xf>
    <xf numFmtId="49" fontId="1" fillId="13" borderId="60" xfId="0" applyNumberFormat="1" applyFont="1" applyFill="1" applyBorder="1" applyAlignment="1" applyProtection="1">
      <alignment horizontal="left"/>
    </xf>
    <xf numFmtId="49" fontId="1" fillId="13" borderId="2" xfId="0" applyNumberFormat="1" applyFont="1" applyFill="1" applyBorder="1" applyAlignment="1" applyProtection="1">
      <alignment horizontal="left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358"/>
  <sheetViews>
    <sheetView showGridLines="0" tabSelected="1" zoomScale="80" zoomScaleNormal="80" zoomScaleSheetLayoutView="80" workbookViewId="0">
      <selection activeCell="Y47" sqref="Y4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42</v>
      </c>
      <c r="C4" s="4"/>
      <c r="D4" s="282" t="s">
        <v>117</v>
      </c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43</v>
      </c>
      <c r="C6" s="4"/>
      <c r="D6" s="87">
        <v>71294147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44</v>
      </c>
      <c r="C8" s="4"/>
      <c r="D8" s="283" t="s">
        <v>118</v>
      </c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  <c r="T8" s="284"/>
      <c r="U8" s="28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45" t="s">
        <v>37</v>
      </c>
      <c r="C10" s="288" t="s">
        <v>38</v>
      </c>
      <c r="D10" s="248" t="s">
        <v>98</v>
      </c>
      <c r="E10" s="249"/>
      <c r="F10" s="249"/>
      <c r="G10" s="249"/>
      <c r="H10" s="249"/>
      <c r="I10" s="250"/>
      <c r="J10" s="248" t="s">
        <v>101</v>
      </c>
      <c r="K10" s="249"/>
      <c r="L10" s="249"/>
      <c r="M10" s="249"/>
      <c r="N10" s="249"/>
      <c r="O10" s="250"/>
      <c r="P10" s="248" t="s">
        <v>99</v>
      </c>
      <c r="Q10" s="249"/>
      <c r="R10" s="249"/>
      <c r="S10" s="249"/>
      <c r="T10" s="249"/>
      <c r="U10" s="250"/>
      <c r="V10" s="248" t="s">
        <v>100</v>
      </c>
      <c r="W10" s="249"/>
      <c r="X10" s="249"/>
      <c r="Y10" s="249"/>
      <c r="Z10" s="249"/>
      <c r="AA10" s="250"/>
      <c r="AB10" s="317" t="s">
        <v>96</v>
      </c>
      <c r="AC10" s="3"/>
      <c r="AD10" s="3"/>
    </row>
    <row r="11" spans="1:30" ht="30.75" customHeight="1" thickBot="1" x14ac:dyDescent="0.3">
      <c r="A11" s="4"/>
      <c r="B11" s="246"/>
      <c r="C11" s="289"/>
      <c r="D11" s="251" t="s">
        <v>39</v>
      </c>
      <c r="E11" s="252"/>
      <c r="F11" s="252"/>
      <c r="G11" s="253"/>
      <c r="H11" s="8" t="s">
        <v>40</v>
      </c>
      <c r="I11" s="8" t="s">
        <v>59</v>
      </c>
      <c r="J11" s="251" t="s">
        <v>39</v>
      </c>
      <c r="K11" s="252"/>
      <c r="L11" s="252"/>
      <c r="M11" s="253"/>
      <c r="N11" s="8" t="s">
        <v>40</v>
      </c>
      <c r="O11" s="8" t="s">
        <v>59</v>
      </c>
      <c r="P11" s="251" t="s">
        <v>39</v>
      </c>
      <c r="Q11" s="252"/>
      <c r="R11" s="252"/>
      <c r="S11" s="253"/>
      <c r="T11" s="8" t="s">
        <v>40</v>
      </c>
      <c r="U11" s="8" t="s">
        <v>59</v>
      </c>
      <c r="V11" s="251" t="s">
        <v>39</v>
      </c>
      <c r="W11" s="252"/>
      <c r="X11" s="252"/>
      <c r="Y11" s="253"/>
      <c r="Z11" s="8" t="s">
        <v>40</v>
      </c>
      <c r="AA11" s="8" t="s">
        <v>59</v>
      </c>
      <c r="AB11" s="318"/>
      <c r="AC11" s="3"/>
      <c r="AD11" s="3"/>
    </row>
    <row r="12" spans="1:30" ht="15.75" customHeight="1" thickBot="1" x14ac:dyDescent="0.3">
      <c r="A12" s="4"/>
      <c r="B12" s="246"/>
      <c r="C12" s="290"/>
      <c r="D12" s="256" t="s">
        <v>60</v>
      </c>
      <c r="E12" s="257"/>
      <c r="F12" s="257"/>
      <c r="G12" s="257"/>
      <c r="H12" s="257"/>
      <c r="I12" s="258"/>
      <c r="J12" s="256" t="s">
        <v>60</v>
      </c>
      <c r="K12" s="257"/>
      <c r="L12" s="257"/>
      <c r="M12" s="257"/>
      <c r="N12" s="257"/>
      <c r="O12" s="258"/>
      <c r="P12" s="256" t="s">
        <v>60</v>
      </c>
      <c r="Q12" s="257"/>
      <c r="R12" s="257"/>
      <c r="S12" s="257"/>
      <c r="T12" s="257"/>
      <c r="U12" s="258"/>
      <c r="V12" s="256" t="s">
        <v>60</v>
      </c>
      <c r="W12" s="257"/>
      <c r="X12" s="257"/>
      <c r="Y12" s="257"/>
      <c r="Z12" s="257"/>
      <c r="AA12" s="258"/>
      <c r="AB12" s="318"/>
      <c r="AC12" s="3"/>
      <c r="AD12" s="3"/>
    </row>
    <row r="13" spans="1:30" ht="15.75" customHeight="1" thickBot="1" x14ac:dyDescent="0.3">
      <c r="A13" s="4"/>
      <c r="B13" s="247"/>
      <c r="C13" s="291"/>
      <c r="D13" s="259" t="s">
        <v>56</v>
      </c>
      <c r="E13" s="260"/>
      <c r="F13" s="260"/>
      <c r="G13" s="261" t="s">
        <v>61</v>
      </c>
      <c r="H13" s="263" t="s">
        <v>64</v>
      </c>
      <c r="I13" s="265" t="s">
        <v>60</v>
      </c>
      <c r="J13" s="259" t="s">
        <v>56</v>
      </c>
      <c r="K13" s="260"/>
      <c r="L13" s="260"/>
      <c r="M13" s="261" t="s">
        <v>61</v>
      </c>
      <c r="N13" s="263" t="s">
        <v>64</v>
      </c>
      <c r="O13" s="265" t="s">
        <v>60</v>
      </c>
      <c r="P13" s="259" t="s">
        <v>56</v>
      </c>
      <c r="Q13" s="260"/>
      <c r="R13" s="260"/>
      <c r="S13" s="261" t="s">
        <v>61</v>
      </c>
      <c r="T13" s="263" t="s">
        <v>64</v>
      </c>
      <c r="U13" s="265" t="s">
        <v>60</v>
      </c>
      <c r="V13" s="259" t="s">
        <v>56</v>
      </c>
      <c r="W13" s="260"/>
      <c r="X13" s="260"/>
      <c r="Y13" s="261" t="s">
        <v>61</v>
      </c>
      <c r="Z13" s="263" t="s">
        <v>64</v>
      </c>
      <c r="AA13" s="265" t="s">
        <v>60</v>
      </c>
      <c r="AB13" s="318"/>
      <c r="AC13" s="3"/>
      <c r="AD13" s="3"/>
    </row>
    <row r="14" spans="1:30" ht="15.75" thickBot="1" x14ac:dyDescent="0.3">
      <c r="A14" s="4"/>
      <c r="B14" s="9"/>
      <c r="C14" s="10"/>
      <c r="D14" s="138" t="s">
        <v>57</v>
      </c>
      <c r="E14" s="139" t="s">
        <v>87</v>
      </c>
      <c r="F14" s="139" t="s">
        <v>58</v>
      </c>
      <c r="G14" s="262"/>
      <c r="H14" s="264"/>
      <c r="I14" s="266"/>
      <c r="J14" s="138" t="s">
        <v>57</v>
      </c>
      <c r="K14" s="139" t="s">
        <v>87</v>
      </c>
      <c r="L14" s="139" t="s">
        <v>58</v>
      </c>
      <c r="M14" s="262"/>
      <c r="N14" s="264"/>
      <c r="O14" s="266"/>
      <c r="P14" s="138" t="s">
        <v>57</v>
      </c>
      <c r="Q14" s="139" t="s">
        <v>87</v>
      </c>
      <c r="R14" s="139" t="s">
        <v>58</v>
      </c>
      <c r="S14" s="262"/>
      <c r="T14" s="264"/>
      <c r="U14" s="266"/>
      <c r="V14" s="138" t="s">
        <v>57</v>
      </c>
      <c r="W14" s="139" t="s">
        <v>87</v>
      </c>
      <c r="X14" s="139" t="s">
        <v>58</v>
      </c>
      <c r="Y14" s="262"/>
      <c r="Z14" s="264"/>
      <c r="AA14" s="266"/>
      <c r="AB14" s="319"/>
      <c r="AC14" s="3"/>
      <c r="AD14" s="3"/>
    </row>
    <row r="15" spans="1:30" x14ac:dyDescent="0.25">
      <c r="A15" s="4"/>
      <c r="B15" s="34" t="s">
        <v>0</v>
      </c>
      <c r="C15" s="124" t="s">
        <v>51</v>
      </c>
      <c r="D15" s="11"/>
      <c r="E15" s="12"/>
      <c r="F15" s="55">
        <v>2834.5259999999998</v>
      </c>
      <c r="G15" s="62">
        <f>D15+E15+F15</f>
        <v>2834.5259999999998</v>
      </c>
      <c r="H15" s="65">
        <v>210.548</v>
      </c>
      <c r="I15" s="13">
        <f>G15+H15</f>
        <v>3045.0739999999996</v>
      </c>
      <c r="J15" s="161"/>
      <c r="K15" s="162"/>
      <c r="L15" s="163">
        <v>2400</v>
      </c>
      <c r="M15" s="164">
        <f t="shared" ref="M15:M24" si="0">SUM(J15:L15)</f>
        <v>2400</v>
      </c>
      <c r="N15" s="165">
        <v>345</v>
      </c>
      <c r="O15" s="166">
        <f>M15+N15</f>
        <v>2745</v>
      </c>
      <c r="P15" s="11"/>
      <c r="Q15" s="12"/>
      <c r="R15" s="156">
        <v>2060.0500000000002</v>
      </c>
      <c r="S15" s="62">
        <f>SUM(P15:R15)</f>
        <v>2060.0500000000002</v>
      </c>
      <c r="T15" s="65">
        <v>104.45099999999999</v>
      </c>
      <c r="U15" s="13">
        <f>S15+T15</f>
        <v>2164.5010000000002</v>
      </c>
      <c r="V15" s="11"/>
      <c r="W15" s="12"/>
      <c r="X15" s="55">
        <v>2900</v>
      </c>
      <c r="Y15" s="62">
        <f>SUM(V15:X15)</f>
        <v>2900</v>
      </c>
      <c r="Z15" s="65">
        <v>250</v>
      </c>
      <c r="AA15" s="13">
        <f>Y15+Z15</f>
        <v>3150</v>
      </c>
      <c r="AB15" s="142">
        <f>(AA15/O15)</f>
        <v>1.1475409836065573</v>
      </c>
      <c r="AC15" s="3"/>
      <c r="AD15" s="3"/>
    </row>
    <row r="16" spans="1:30" x14ac:dyDescent="0.25">
      <c r="A16" s="4"/>
      <c r="B16" s="14" t="s">
        <v>1</v>
      </c>
      <c r="C16" s="125" t="s">
        <v>105</v>
      </c>
      <c r="D16" s="56">
        <v>1810</v>
      </c>
      <c r="E16" s="15"/>
      <c r="F16" s="15"/>
      <c r="G16" s="63">
        <f>SUM(D16:F16)</f>
        <v>1810</v>
      </c>
      <c r="H16" s="66"/>
      <c r="I16" s="13">
        <f t="shared" ref="I16:I24" si="1">G16+H16</f>
        <v>1810</v>
      </c>
      <c r="J16" s="167">
        <v>1810</v>
      </c>
      <c r="K16" s="168"/>
      <c r="L16" s="168"/>
      <c r="M16" s="169">
        <f t="shared" si="0"/>
        <v>1810</v>
      </c>
      <c r="N16" s="170"/>
      <c r="O16" s="166">
        <f t="shared" ref="O16:O21" si="2">M16+N16</f>
        <v>1810</v>
      </c>
      <c r="P16" s="56">
        <v>905.2</v>
      </c>
      <c r="Q16" s="155"/>
      <c r="R16" s="15"/>
      <c r="S16" s="63">
        <f t="shared" ref="S16:S24" si="3">SUM(P16:R16)</f>
        <v>905.2</v>
      </c>
      <c r="T16" s="66"/>
      <c r="U16" s="13">
        <f t="shared" ref="U16:U21" si="4">S16+T16</f>
        <v>905.2</v>
      </c>
      <c r="V16" s="56">
        <v>1856</v>
      </c>
      <c r="W16" s="15"/>
      <c r="X16" s="15"/>
      <c r="Y16" s="63">
        <f t="shared" ref="Y16:Y24" si="5">SUM(V16:X16)</f>
        <v>1856</v>
      </c>
      <c r="Z16" s="66"/>
      <c r="AA16" s="13">
        <f t="shared" ref="AA16:AA21" si="6">Y16+Z16</f>
        <v>1856</v>
      </c>
      <c r="AB16" s="142">
        <f t="shared" ref="AB16:AB25" si="7">(AA16/O16)</f>
        <v>1.025414364640884</v>
      </c>
      <c r="AC16" s="3"/>
      <c r="AD16" s="3"/>
    </row>
    <row r="17" spans="1:30" x14ac:dyDescent="0.25">
      <c r="A17" s="4"/>
      <c r="B17" s="14" t="s">
        <v>3</v>
      </c>
      <c r="C17" s="126" t="s">
        <v>104</v>
      </c>
      <c r="D17" s="57">
        <f>137+1000+46</f>
        <v>1183</v>
      </c>
      <c r="E17" s="16"/>
      <c r="F17" s="16"/>
      <c r="G17" s="63">
        <f t="shared" ref="G17:G24" si="8">SUM(D17:F17)</f>
        <v>1183</v>
      </c>
      <c r="H17" s="67"/>
      <c r="I17" s="13">
        <f t="shared" si="1"/>
        <v>1183</v>
      </c>
      <c r="J17" s="171">
        <v>137</v>
      </c>
      <c r="K17" s="172"/>
      <c r="L17" s="172"/>
      <c r="M17" s="169">
        <f t="shared" si="0"/>
        <v>137</v>
      </c>
      <c r="N17" s="173"/>
      <c r="O17" s="166">
        <f t="shared" si="2"/>
        <v>137</v>
      </c>
      <c r="P17" s="57">
        <v>137</v>
      </c>
      <c r="Q17" s="16"/>
      <c r="R17" s="16"/>
      <c r="S17" s="63">
        <f t="shared" si="3"/>
        <v>137</v>
      </c>
      <c r="T17" s="67"/>
      <c r="U17" s="13">
        <f t="shared" si="4"/>
        <v>137</v>
      </c>
      <c r="V17" s="57"/>
      <c r="W17" s="16"/>
      <c r="X17" s="16"/>
      <c r="Y17" s="63">
        <f t="shared" si="5"/>
        <v>0</v>
      </c>
      <c r="Z17" s="67"/>
      <c r="AA17" s="13">
        <f t="shared" si="6"/>
        <v>0</v>
      </c>
      <c r="AB17" s="142">
        <f t="shared" si="7"/>
        <v>0</v>
      </c>
      <c r="AC17" s="3"/>
      <c r="AD17" s="3"/>
    </row>
    <row r="18" spans="1:30" x14ac:dyDescent="0.25">
      <c r="A18" s="4"/>
      <c r="B18" s="14" t="s">
        <v>102</v>
      </c>
      <c r="C18" s="213" t="s">
        <v>103</v>
      </c>
      <c r="D18" s="57"/>
      <c r="E18" s="16"/>
      <c r="F18" s="16"/>
      <c r="G18" s="63">
        <f t="shared" si="8"/>
        <v>0</v>
      </c>
      <c r="H18" s="66"/>
      <c r="I18" s="13">
        <f t="shared" si="1"/>
        <v>0</v>
      </c>
      <c r="J18" s="171"/>
      <c r="K18" s="172"/>
      <c r="L18" s="172"/>
      <c r="M18" s="169">
        <f t="shared" si="0"/>
        <v>0</v>
      </c>
      <c r="N18" s="170"/>
      <c r="O18" s="166">
        <f t="shared" si="2"/>
        <v>0</v>
      </c>
      <c r="P18" s="57"/>
      <c r="Q18" s="16"/>
      <c r="R18" s="16"/>
      <c r="S18" s="63">
        <f t="shared" si="3"/>
        <v>0</v>
      </c>
      <c r="T18" s="66"/>
      <c r="U18" s="13">
        <f t="shared" si="4"/>
        <v>0</v>
      </c>
      <c r="V18" s="57">
        <v>2870.8760000000002</v>
      </c>
      <c r="W18" s="16"/>
      <c r="X18" s="16"/>
      <c r="Y18" s="63">
        <f t="shared" si="5"/>
        <v>2870.8760000000002</v>
      </c>
      <c r="Z18" s="66"/>
      <c r="AA18" s="13">
        <f t="shared" si="6"/>
        <v>2870.8760000000002</v>
      </c>
      <c r="AB18" s="142"/>
      <c r="AC18" s="3"/>
      <c r="AD18" s="3"/>
    </row>
    <row r="19" spans="1:30" x14ac:dyDescent="0.25">
      <c r="A19" s="4"/>
      <c r="B19" s="14" t="s">
        <v>5</v>
      </c>
      <c r="C19" s="127" t="s">
        <v>52</v>
      </c>
      <c r="D19" s="17"/>
      <c r="E19" s="58">
        <v>12743.162</v>
      </c>
      <c r="F19" s="16"/>
      <c r="G19" s="63">
        <f t="shared" si="8"/>
        <v>12743.162</v>
      </c>
      <c r="H19" s="65"/>
      <c r="I19" s="13">
        <f t="shared" si="1"/>
        <v>12743.162</v>
      </c>
      <c r="J19" s="174"/>
      <c r="K19" s="175">
        <v>11212.3</v>
      </c>
      <c r="L19" s="172"/>
      <c r="M19" s="169">
        <f t="shared" si="0"/>
        <v>11212.3</v>
      </c>
      <c r="N19" s="165"/>
      <c r="O19" s="166">
        <f t="shared" si="2"/>
        <v>11212.3</v>
      </c>
      <c r="P19" s="17"/>
      <c r="Q19" s="58">
        <f>5528+121.7+961.636+138.175-6.557</f>
        <v>6742.9539999999997</v>
      </c>
      <c r="R19" s="16"/>
      <c r="S19" s="63">
        <f t="shared" si="3"/>
        <v>6742.9539999999997</v>
      </c>
      <c r="T19" s="65"/>
      <c r="U19" s="13">
        <f t="shared" si="4"/>
        <v>6742.9539999999997</v>
      </c>
      <c r="V19" s="17"/>
      <c r="W19" s="58">
        <f>9376.258+510.9</f>
        <v>9887.1579999999994</v>
      </c>
      <c r="X19" s="16"/>
      <c r="Y19" s="63">
        <f t="shared" si="5"/>
        <v>9887.1579999999994</v>
      </c>
      <c r="Z19" s="65"/>
      <c r="AA19" s="13">
        <f t="shared" si="6"/>
        <v>9887.1579999999994</v>
      </c>
      <c r="AB19" s="142">
        <f t="shared" si="7"/>
        <v>0.88181354405429757</v>
      </c>
      <c r="AC19" s="3"/>
      <c r="AD19" s="3"/>
    </row>
    <row r="20" spans="1:30" x14ac:dyDescent="0.25">
      <c r="A20" s="4"/>
      <c r="B20" s="14" t="s">
        <v>7</v>
      </c>
      <c r="C20" s="39" t="s">
        <v>45</v>
      </c>
      <c r="D20" s="18"/>
      <c r="E20" s="16"/>
      <c r="F20" s="59">
        <v>356.99700000000001</v>
      </c>
      <c r="G20" s="63">
        <f t="shared" si="8"/>
        <v>356.99700000000001</v>
      </c>
      <c r="H20" s="68"/>
      <c r="I20" s="13">
        <f t="shared" si="1"/>
        <v>356.99700000000001</v>
      </c>
      <c r="J20" s="176"/>
      <c r="K20" s="172"/>
      <c r="L20" s="177">
        <v>347</v>
      </c>
      <c r="M20" s="169">
        <f t="shared" si="0"/>
        <v>347</v>
      </c>
      <c r="N20" s="178"/>
      <c r="O20" s="166">
        <f t="shared" si="2"/>
        <v>347</v>
      </c>
      <c r="P20" s="18"/>
      <c r="Q20" s="16"/>
      <c r="R20" s="59">
        <f>17.359+50.544+6.604+12.581+37+13.369+36.018+5.011</f>
        <v>178.48599999999999</v>
      </c>
      <c r="S20" s="63">
        <f t="shared" si="3"/>
        <v>178.48599999999999</v>
      </c>
      <c r="T20" s="68"/>
      <c r="U20" s="13">
        <f t="shared" si="4"/>
        <v>178.48599999999999</v>
      </c>
      <c r="V20" s="18"/>
      <c r="W20" s="16"/>
      <c r="X20" s="59">
        <v>258.2</v>
      </c>
      <c r="Y20" s="63">
        <f t="shared" si="5"/>
        <v>258.2</v>
      </c>
      <c r="Z20" s="68"/>
      <c r="AA20" s="13">
        <f t="shared" si="6"/>
        <v>258.2</v>
      </c>
      <c r="AB20" s="142">
        <f t="shared" si="7"/>
        <v>0.74409221902017286</v>
      </c>
      <c r="AC20" s="3"/>
      <c r="AD20" s="3"/>
    </row>
    <row r="21" spans="1:30" x14ac:dyDescent="0.25">
      <c r="A21" s="4"/>
      <c r="B21" s="14" t="s">
        <v>9</v>
      </c>
      <c r="C21" s="128" t="s">
        <v>46</v>
      </c>
      <c r="D21" s="17"/>
      <c r="E21" s="15"/>
      <c r="F21" s="60">
        <v>50.991999999999997</v>
      </c>
      <c r="G21" s="63">
        <f t="shared" si="8"/>
        <v>50.991999999999997</v>
      </c>
      <c r="H21" s="68"/>
      <c r="I21" s="13">
        <f t="shared" si="1"/>
        <v>50.991999999999997</v>
      </c>
      <c r="J21" s="174"/>
      <c r="K21" s="168"/>
      <c r="L21" s="179">
        <v>30</v>
      </c>
      <c r="M21" s="169">
        <f t="shared" si="0"/>
        <v>30</v>
      </c>
      <c r="N21" s="178"/>
      <c r="O21" s="166">
        <f t="shared" si="2"/>
        <v>30</v>
      </c>
      <c r="P21" s="17"/>
      <c r="Q21" s="15"/>
      <c r="R21" s="60"/>
      <c r="S21" s="63">
        <f t="shared" si="3"/>
        <v>0</v>
      </c>
      <c r="T21" s="68"/>
      <c r="U21" s="13">
        <f t="shared" si="4"/>
        <v>0</v>
      </c>
      <c r="V21" s="17"/>
      <c r="W21" s="15"/>
      <c r="X21" s="60">
        <v>50</v>
      </c>
      <c r="Y21" s="63">
        <f t="shared" si="5"/>
        <v>50</v>
      </c>
      <c r="Z21" s="68"/>
      <c r="AA21" s="13">
        <f t="shared" si="6"/>
        <v>50</v>
      </c>
      <c r="AB21" s="142">
        <f t="shared" si="7"/>
        <v>1.6666666666666667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f>80.529+259.636</f>
        <v>340.16500000000002</v>
      </c>
      <c r="G22" s="63">
        <f t="shared" si="8"/>
        <v>340.16500000000002</v>
      </c>
      <c r="H22" s="69">
        <v>2.5</v>
      </c>
      <c r="I22" s="13">
        <f>G22+H22</f>
        <v>342.66500000000002</v>
      </c>
      <c r="J22" s="174"/>
      <c r="K22" s="168"/>
      <c r="L22" s="179">
        <v>170</v>
      </c>
      <c r="M22" s="169">
        <f t="shared" si="0"/>
        <v>170</v>
      </c>
      <c r="N22" s="180">
        <v>5</v>
      </c>
      <c r="O22" s="166">
        <f>M22+N22</f>
        <v>175</v>
      </c>
      <c r="P22" s="17"/>
      <c r="Q22" s="15"/>
      <c r="R22" s="60">
        <f>65.331+34.655</f>
        <v>99.986000000000004</v>
      </c>
      <c r="S22" s="63">
        <f t="shared" si="3"/>
        <v>99.986000000000004</v>
      </c>
      <c r="T22" s="69">
        <v>2.5</v>
      </c>
      <c r="U22" s="13">
        <f>S22+T22</f>
        <v>102.486</v>
      </c>
      <c r="V22" s="17"/>
      <c r="W22" s="15"/>
      <c r="X22" s="60">
        <v>300</v>
      </c>
      <c r="Y22" s="63">
        <f t="shared" si="5"/>
        <v>300</v>
      </c>
      <c r="Z22" s="69">
        <v>5</v>
      </c>
      <c r="AA22" s="13">
        <f>Y22+Z22</f>
        <v>305</v>
      </c>
      <c r="AB22" s="142">
        <f t="shared" si="7"/>
        <v>1.7428571428571429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8"/>
        <v>0</v>
      </c>
      <c r="H23" s="69"/>
      <c r="I23" s="13">
        <f t="shared" si="1"/>
        <v>0</v>
      </c>
      <c r="J23" s="174"/>
      <c r="K23" s="168"/>
      <c r="L23" s="179"/>
      <c r="M23" s="169">
        <f t="shared" si="0"/>
        <v>0</v>
      </c>
      <c r="N23" s="180"/>
      <c r="O23" s="166">
        <f t="shared" ref="O23:O24" si="9">M23+N23</f>
        <v>0</v>
      </c>
      <c r="P23" s="17"/>
      <c r="Q23" s="15"/>
      <c r="R23" s="60"/>
      <c r="S23" s="63">
        <f t="shared" si="3"/>
        <v>0</v>
      </c>
      <c r="T23" s="69"/>
      <c r="U23" s="13">
        <f t="shared" ref="U23:U24" si="10">S23+T23</f>
        <v>0</v>
      </c>
      <c r="V23" s="17"/>
      <c r="W23" s="15"/>
      <c r="X23" s="60"/>
      <c r="Y23" s="63">
        <f t="shared" si="5"/>
        <v>0</v>
      </c>
      <c r="Z23" s="69"/>
      <c r="AA23" s="13">
        <f t="shared" ref="AA23:AA24" si="11">Y23+Z23</f>
        <v>0</v>
      </c>
      <c r="AB23" s="142" t="e">
        <f t="shared" si="7"/>
        <v>#DIV/0!</v>
      </c>
      <c r="AC23" s="3"/>
      <c r="AD23" s="3"/>
    </row>
    <row r="24" spans="1:30" ht="15.75" thickBot="1" x14ac:dyDescent="0.3">
      <c r="A24" s="4"/>
      <c r="B24" s="129" t="s">
        <v>15</v>
      </c>
      <c r="C24" s="130" t="s">
        <v>6</v>
      </c>
      <c r="D24" s="20"/>
      <c r="E24" s="21"/>
      <c r="F24" s="61"/>
      <c r="G24" s="63">
        <f t="shared" si="8"/>
        <v>0</v>
      </c>
      <c r="H24" s="70"/>
      <c r="I24" s="22">
        <f t="shared" si="1"/>
        <v>0</v>
      </c>
      <c r="J24" s="181"/>
      <c r="K24" s="182"/>
      <c r="L24" s="183"/>
      <c r="M24" s="184">
        <f t="shared" si="0"/>
        <v>0</v>
      </c>
      <c r="N24" s="185"/>
      <c r="O24" s="186">
        <f t="shared" si="9"/>
        <v>0</v>
      </c>
      <c r="P24" s="20"/>
      <c r="Q24" s="21"/>
      <c r="R24" s="61"/>
      <c r="S24" s="64">
        <f t="shared" si="3"/>
        <v>0</v>
      </c>
      <c r="T24" s="70"/>
      <c r="U24" s="22">
        <f t="shared" si="10"/>
        <v>0</v>
      </c>
      <c r="V24" s="20"/>
      <c r="W24" s="21"/>
      <c r="X24" s="61"/>
      <c r="Y24" s="64">
        <f t="shared" si="5"/>
        <v>0</v>
      </c>
      <c r="Z24" s="70"/>
      <c r="AA24" s="22">
        <f t="shared" si="11"/>
        <v>0</v>
      </c>
      <c r="AB24" s="145" t="e">
        <f t="shared" si="7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2993</v>
      </c>
      <c r="E25" s="26">
        <f>SUM(E15:E22)</f>
        <v>12743.162</v>
      </c>
      <c r="F25" s="26">
        <f>SUM(F15:F22)</f>
        <v>3582.68</v>
      </c>
      <c r="G25" s="27">
        <f>SUM(D25:F25)</f>
        <v>19318.842000000001</v>
      </c>
      <c r="H25" s="28">
        <f>SUM(H15:H22)</f>
        <v>213.048</v>
      </c>
      <c r="I25" s="28">
        <f>SUM(I15:I22)</f>
        <v>19531.89</v>
      </c>
      <c r="J25" s="187">
        <f>SUM(J15:J22)</f>
        <v>1947</v>
      </c>
      <c r="K25" s="188">
        <f>SUM(K15:K22)</f>
        <v>11212.3</v>
      </c>
      <c r="L25" s="188">
        <f>SUM(L15:L22)</f>
        <v>2947</v>
      </c>
      <c r="M25" s="189">
        <f>SUM(J25:L25)</f>
        <v>16106.3</v>
      </c>
      <c r="N25" s="190">
        <f>SUM(N15:N22)</f>
        <v>350</v>
      </c>
      <c r="O25" s="190">
        <f>SUM(O15:O22)</f>
        <v>16456.3</v>
      </c>
      <c r="P25" s="25">
        <f>SUM(P15:P22)</f>
        <v>1042.2</v>
      </c>
      <c r="Q25" s="26">
        <f>SUM(Q15:Q22)</f>
        <v>6742.9539999999997</v>
      </c>
      <c r="R25" s="26">
        <f>SUM(R15:R22)</f>
        <v>2338.5219999999999</v>
      </c>
      <c r="S25" s="27">
        <f>SUM(P25:R25)</f>
        <v>10123.675999999999</v>
      </c>
      <c r="T25" s="28">
        <f>SUM(T15:T22)</f>
        <v>106.95099999999999</v>
      </c>
      <c r="U25" s="28">
        <f>SUM(U15:U22)</f>
        <v>10230.627</v>
      </c>
      <c r="V25" s="25">
        <f>SUM(V15:V22)</f>
        <v>4726.8760000000002</v>
      </c>
      <c r="W25" s="26">
        <f>SUM(W15:W22)</f>
        <v>9887.1579999999994</v>
      </c>
      <c r="X25" s="26">
        <f>SUM(X15:X22)</f>
        <v>3508.2</v>
      </c>
      <c r="Y25" s="27">
        <f>SUM(V25:X25)</f>
        <v>18122.234</v>
      </c>
      <c r="Z25" s="28">
        <f>SUM(Z15:Z22)</f>
        <v>255</v>
      </c>
      <c r="AA25" s="28">
        <f>SUM(AA15:AA22)</f>
        <v>18377.234</v>
      </c>
      <c r="AB25" s="146">
        <f t="shared" si="7"/>
        <v>1.1167293984674562</v>
      </c>
      <c r="AC25" s="3"/>
      <c r="AD25" s="3"/>
    </row>
    <row r="26" spans="1:30" ht="15.75" customHeight="1" thickBot="1" x14ac:dyDescent="0.3">
      <c r="A26" s="4"/>
      <c r="B26" s="29"/>
      <c r="C26" s="30"/>
      <c r="D26" s="294" t="s">
        <v>66</v>
      </c>
      <c r="E26" s="295"/>
      <c r="F26" s="295"/>
      <c r="G26" s="296"/>
      <c r="H26" s="296"/>
      <c r="I26" s="297"/>
      <c r="J26" s="298" t="s">
        <v>66</v>
      </c>
      <c r="K26" s="299"/>
      <c r="L26" s="299"/>
      <c r="M26" s="300"/>
      <c r="N26" s="300"/>
      <c r="O26" s="301"/>
      <c r="P26" s="294" t="s">
        <v>66</v>
      </c>
      <c r="Q26" s="295"/>
      <c r="R26" s="295"/>
      <c r="S26" s="296"/>
      <c r="T26" s="296"/>
      <c r="U26" s="297"/>
      <c r="V26" s="294" t="s">
        <v>66</v>
      </c>
      <c r="W26" s="295"/>
      <c r="X26" s="295"/>
      <c r="Y26" s="296"/>
      <c r="Z26" s="296"/>
      <c r="AA26" s="297"/>
      <c r="AB26" s="311" t="s">
        <v>96</v>
      </c>
      <c r="AC26" s="3"/>
      <c r="AD26" s="3"/>
    </row>
    <row r="27" spans="1:30" ht="15.75" thickBot="1" x14ac:dyDescent="0.3">
      <c r="A27" s="4"/>
      <c r="B27" s="254" t="s">
        <v>37</v>
      </c>
      <c r="C27" s="288" t="s">
        <v>38</v>
      </c>
      <c r="D27" s="276" t="s">
        <v>67</v>
      </c>
      <c r="E27" s="277"/>
      <c r="F27" s="277"/>
      <c r="G27" s="271" t="s">
        <v>62</v>
      </c>
      <c r="H27" s="273" t="s">
        <v>65</v>
      </c>
      <c r="I27" s="292" t="s">
        <v>66</v>
      </c>
      <c r="J27" s="303" t="s">
        <v>67</v>
      </c>
      <c r="K27" s="304"/>
      <c r="L27" s="304"/>
      <c r="M27" s="305" t="s">
        <v>62</v>
      </c>
      <c r="N27" s="307" t="s">
        <v>65</v>
      </c>
      <c r="O27" s="309" t="s">
        <v>66</v>
      </c>
      <c r="P27" s="276" t="s">
        <v>67</v>
      </c>
      <c r="Q27" s="277"/>
      <c r="R27" s="277"/>
      <c r="S27" s="271" t="s">
        <v>62</v>
      </c>
      <c r="T27" s="273" t="s">
        <v>65</v>
      </c>
      <c r="U27" s="292" t="s">
        <v>66</v>
      </c>
      <c r="V27" s="276" t="s">
        <v>67</v>
      </c>
      <c r="W27" s="277"/>
      <c r="X27" s="277"/>
      <c r="Y27" s="271" t="s">
        <v>62</v>
      </c>
      <c r="Z27" s="273" t="s">
        <v>65</v>
      </c>
      <c r="AA27" s="292" t="s">
        <v>66</v>
      </c>
      <c r="AB27" s="312"/>
      <c r="AC27" s="3"/>
      <c r="AD27" s="3"/>
    </row>
    <row r="28" spans="1:30" ht="15.75" thickBot="1" x14ac:dyDescent="0.3">
      <c r="A28" s="4"/>
      <c r="B28" s="255"/>
      <c r="C28" s="289"/>
      <c r="D28" s="31" t="s">
        <v>53</v>
      </c>
      <c r="E28" s="32" t="s">
        <v>54</v>
      </c>
      <c r="F28" s="33" t="s">
        <v>55</v>
      </c>
      <c r="G28" s="272"/>
      <c r="H28" s="274"/>
      <c r="I28" s="293"/>
      <c r="J28" s="191" t="s">
        <v>53</v>
      </c>
      <c r="K28" s="192" t="s">
        <v>54</v>
      </c>
      <c r="L28" s="193" t="s">
        <v>55</v>
      </c>
      <c r="M28" s="306"/>
      <c r="N28" s="308"/>
      <c r="O28" s="310"/>
      <c r="P28" s="31" t="s">
        <v>53</v>
      </c>
      <c r="Q28" s="32" t="s">
        <v>54</v>
      </c>
      <c r="R28" s="33" t="s">
        <v>55</v>
      </c>
      <c r="S28" s="272"/>
      <c r="T28" s="274"/>
      <c r="U28" s="293"/>
      <c r="V28" s="31" t="s">
        <v>53</v>
      </c>
      <c r="W28" s="32" t="s">
        <v>54</v>
      </c>
      <c r="X28" s="33" t="s">
        <v>55</v>
      </c>
      <c r="Y28" s="272"/>
      <c r="Z28" s="274"/>
      <c r="AA28" s="293"/>
      <c r="AB28" s="313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1000</v>
      </c>
      <c r="E29" s="71">
        <v>570.553</v>
      </c>
      <c r="F29" s="71">
        <v>821</v>
      </c>
      <c r="G29" s="72">
        <f>SUM(D29:F29)</f>
        <v>2391.5529999999999</v>
      </c>
      <c r="H29" s="72"/>
      <c r="I29" s="230">
        <f>G29+H29</f>
        <v>2391.5529999999999</v>
      </c>
      <c r="J29" s="202"/>
      <c r="K29" s="203"/>
      <c r="L29" s="203">
        <v>500</v>
      </c>
      <c r="M29" s="194">
        <f>SUM(J29:L29)</f>
        <v>500</v>
      </c>
      <c r="N29" s="194">
        <v>300</v>
      </c>
      <c r="O29" s="195">
        <f>M29+N29</f>
        <v>800</v>
      </c>
      <c r="P29" s="80"/>
      <c r="Q29" s="71"/>
      <c r="R29" s="71">
        <v>531.81799999999998</v>
      </c>
      <c r="S29" s="72">
        <f>SUM(P29:R29)</f>
        <v>531.81799999999998</v>
      </c>
      <c r="T29" s="72"/>
      <c r="U29" s="36">
        <f>S29+T29</f>
        <v>531.81799999999998</v>
      </c>
      <c r="V29" s="80"/>
      <c r="W29" s="71"/>
      <c r="X29" s="71">
        <v>800</v>
      </c>
      <c r="Y29" s="72">
        <f>SUM(V29:X29)</f>
        <v>800</v>
      </c>
      <c r="Z29" s="72">
        <v>200</v>
      </c>
      <c r="AA29" s="36">
        <f>Y29+Z29</f>
        <v>1000</v>
      </c>
      <c r="AB29" s="142">
        <f t="shared" ref="AB29:AB42" si="12">(AA29/O29)</f>
        <v>1.25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157">
        <v>33</v>
      </c>
      <c r="E30" s="73">
        <v>153.17099999999999</v>
      </c>
      <c r="F30" s="73">
        <v>615.1</v>
      </c>
      <c r="G30" s="74">
        <f t="shared" ref="G30:G39" si="13">SUM(D30:F30)</f>
        <v>801.27099999999996</v>
      </c>
      <c r="H30" s="75"/>
      <c r="I30" s="231">
        <f t="shared" ref="I30:I39" si="14">G30+H30</f>
        <v>801.27099999999996</v>
      </c>
      <c r="J30" s="204"/>
      <c r="K30" s="205">
        <v>50</v>
      </c>
      <c r="L30" s="205">
        <v>500</v>
      </c>
      <c r="M30" s="196">
        <f t="shared" ref="M30:M39" si="15">SUM(J30:L30)</f>
        <v>550</v>
      </c>
      <c r="N30" s="197"/>
      <c r="O30" s="166">
        <f t="shared" ref="O30:O39" si="16">M30+N30</f>
        <v>550</v>
      </c>
      <c r="P30" s="81"/>
      <c r="Q30" s="73">
        <v>69.5</v>
      </c>
      <c r="R30" s="73">
        <v>251.3</v>
      </c>
      <c r="S30" s="74">
        <f t="shared" ref="S30:S39" si="17">SUM(P30:R30)</f>
        <v>320.8</v>
      </c>
      <c r="T30" s="75"/>
      <c r="U30" s="13">
        <f t="shared" ref="U30:U39" si="18">S30+T30</f>
        <v>320.8</v>
      </c>
      <c r="V30" s="81">
        <v>33</v>
      </c>
      <c r="W30" s="73"/>
      <c r="X30" s="73">
        <v>800</v>
      </c>
      <c r="Y30" s="74">
        <f t="shared" ref="Y30:Y39" si="19">SUM(V30:X30)</f>
        <v>833</v>
      </c>
      <c r="Z30" s="75"/>
      <c r="AA30" s="13">
        <f t="shared" ref="AA30:AA39" si="20">Y30+Z30</f>
        <v>833</v>
      </c>
      <c r="AB30" s="142">
        <f t="shared" si="12"/>
        <v>1.5145454545454546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1033.8389999999999</v>
      </c>
      <c r="E31" s="76"/>
      <c r="F31" s="76"/>
      <c r="G31" s="74">
        <f t="shared" si="13"/>
        <v>1033.8389999999999</v>
      </c>
      <c r="H31" s="74">
        <v>62.537999999999997</v>
      </c>
      <c r="I31" s="231">
        <f t="shared" si="14"/>
        <v>1096.377</v>
      </c>
      <c r="J31" s="206">
        <v>1100</v>
      </c>
      <c r="K31" s="207"/>
      <c r="L31" s="208">
        <v>250</v>
      </c>
      <c r="M31" s="196">
        <f t="shared" si="15"/>
        <v>1350</v>
      </c>
      <c r="N31" s="196">
        <v>50</v>
      </c>
      <c r="O31" s="166">
        <f t="shared" si="16"/>
        <v>1400</v>
      </c>
      <c r="P31" s="82">
        <f>73.959+169.2+362.377</f>
        <v>605.53600000000006</v>
      </c>
      <c r="Q31" s="76"/>
      <c r="R31" s="76"/>
      <c r="S31" s="74">
        <f t="shared" si="17"/>
        <v>605.53600000000006</v>
      </c>
      <c r="T31" s="74">
        <v>3.8220000000000001</v>
      </c>
      <c r="U31" s="13">
        <f t="shared" si="18"/>
        <v>609.35800000000006</v>
      </c>
      <c r="V31" s="82">
        <v>1000</v>
      </c>
      <c r="W31" s="76"/>
      <c r="X31" s="76"/>
      <c r="Y31" s="74">
        <f t="shared" si="19"/>
        <v>1000</v>
      </c>
      <c r="Z31" s="74">
        <v>55</v>
      </c>
      <c r="AA31" s="13">
        <f t="shared" si="20"/>
        <v>1055</v>
      </c>
      <c r="AB31" s="142">
        <f t="shared" si="12"/>
        <v>0.75357142857142856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933.798</v>
      </c>
      <c r="E32" s="76">
        <v>598.66600000000005</v>
      </c>
      <c r="F32" s="76">
        <v>339.31400000000002</v>
      </c>
      <c r="G32" s="74">
        <f t="shared" si="13"/>
        <v>1871.778</v>
      </c>
      <c r="H32" s="74"/>
      <c r="I32" s="231">
        <f t="shared" si="14"/>
        <v>1871.778</v>
      </c>
      <c r="J32" s="206">
        <v>504.7</v>
      </c>
      <c r="K32" s="208">
        <v>25</v>
      </c>
      <c r="L32" s="208">
        <v>350</v>
      </c>
      <c r="M32" s="196">
        <f t="shared" si="15"/>
        <v>879.7</v>
      </c>
      <c r="N32" s="196"/>
      <c r="O32" s="166">
        <f t="shared" si="16"/>
        <v>879.7</v>
      </c>
      <c r="P32" s="82">
        <f>0.44+16.705+17.038+39.258+12.422+66.847+10.89+6.284+7.26+14.042+8.45+17.305+67.76+6.742+9.6+5.19</f>
        <v>306.233</v>
      </c>
      <c r="Q32" s="76">
        <f>2.653+4.787+2.5+1.881</f>
        <v>11.821</v>
      </c>
      <c r="R32" s="76">
        <f>0.612+0.861+81.1+116.05+0.19+51.028</f>
        <v>249.84099999999998</v>
      </c>
      <c r="S32" s="74">
        <f t="shared" si="17"/>
        <v>567.89499999999998</v>
      </c>
      <c r="T32" s="74"/>
      <c r="U32" s="13">
        <f t="shared" si="18"/>
        <v>567.89499999999998</v>
      </c>
      <c r="V32" s="82">
        <v>640.4</v>
      </c>
      <c r="W32" s="76"/>
      <c r="X32" s="76">
        <v>200</v>
      </c>
      <c r="Y32" s="74">
        <f t="shared" si="19"/>
        <v>840.4</v>
      </c>
      <c r="Z32" s="74"/>
      <c r="AA32" s="13">
        <f t="shared" si="20"/>
        <v>840.4</v>
      </c>
      <c r="AB32" s="142">
        <f t="shared" si="12"/>
        <v>0.95532567920882117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f>D34+D35</f>
        <v>113</v>
      </c>
      <c r="E33" s="76">
        <f>E34+E35</f>
        <v>8360.9369999999999</v>
      </c>
      <c r="F33" s="76">
        <f>F34+F35</f>
        <v>280.72000000000003</v>
      </c>
      <c r="G33" s="74">
        <f t="shared" si="13"/>
        <v>8754.6569999999992</v>
      </c>
      <c r="H33" s="74"/>
      <c r="I33" s="231">
        <f t="shared" si="14"/>
        <v>8754.6569999999992</v>
      </c>
      <c r="J33" s="206">
        <v>101</v>
      </c>
      <c r="K33" s="208">
        <v>8267.5</v>
      </c>
      <c r="L33" s="208">
        <v>250</v>
      </c>
      <c r="M33" s="196">
        <f t="shared" si="15"/>
        <v>8618.5</v>
      </c>
      <c r="N33" s="196"/>
      <c r="O33" s="166">
        <f t="shared" si="16"/>
        <v>8618.5</v>
      </c>
      <c r="P33" s="83"/>
      <c r="Q33" s="76">
        <f>SUM(Q34:Q35)</f>
        <v>4590.9150000000009</v>
      </c>
      <c r="R33" s="76">
        <f>SUM(R34:R35)</f>
        <v>29.2</v>
      </c>
      <c r="S33" s="74">
        <f t="shared" si="17"/>
        <v>4620.1150000000007</v>
      </c>
      <c r="T33" s="74"/>
      <c r="U33" s="13">
        <f t="shared" si="18"/>
        <v>4620.1150000000007</v>
      </c>
      <c r="V33" s="82">
        <f>SUM(V34:V35)</f>
        <v>1893.54</v>
      </c>
      <c r="W33" s="76">
        <f>SUM(W34:W35)</f>
        <v>7329.3770000000004</v>
      </c>
      <c r="X33" s="76">
        <f>SUM(X34:X35)</f>
        <v>370</v>
      </c>
      <c r="Y33" s="74">
        <f t="shared" si="19"/>
        <v>9592.9170000000013</v>
      </c>
      <c r="Z33" s="74"/>
      <c r="AA33" s="13">
        <f t="shared" si="20"/>
        <v>9592.9170000000013</v>
      </c>
      <c r="AB33" s="142">
        <f t="shared" si="12"/>
        <v>1.1130610895167374</v>
      </c>
      <c r="AC33" s="3"/>
      <c r="AD33" s="3"/>
    </row>
    <row r="34" spans="1:30" x14ac:dyDescent="0.25">
      <c r="A34" s="4"/>
      <c r="B34" s="14" t="s">
        <v>28</v>
      </c>
      <c r="C34" s="39" t="s">
        <v>106</v>
      </c>
      <c r="D34" s="77">
        <v>101</v>
      </c>
      <c r="E34" s="76">
        <v>7741.6369999999997</v>
      </c>
      <c r="F34" s="76">
        <v>262.37400000000002</v>
      </c>
      <c r="G34" s="74">
        <f t="shared" si="13"/>
        <v>8105.0109999999995</v>
      </c>
      <c r="H34" s="74"/>
      <c r="I34" s="231">
        <f t="shared" si="14"/>
        <v>8105.0109999999995</v>
      </c>
      <c r="J34" s="206">
        <v>101</v>
      </c>
      <c r="K34" s="208">
        <v>7767.5</v>
      </c>
      <c r="L34" s="208">
        <v>150</v>
      </c>
      <c r="M34" s="196">
        <f t="shared" si="15"/>
        <v>8018.5</v>
      </c>
      <c r="N34" s="196"/>
      <c r="O34" s="166">
        <f t="shared" si="16"/>
        <v>8018.5</v>
      </c>
      <c r="P34" s="83"/>
      <c r="Q34" s="76">
        <f>4260.604+16.599</f>
        <v>4277.2030000000004</v>
      </c>
      <c r="R34" s="76">
        <v>4</v>
      </c>
      <c r="S34" s="74">
        <f t="shared" si="17"/>
        <v>4281.2030000000004</v>
      </c>
      <c r="T34" s="74"/>
      <c r="U34" s="13">
        <f t="shared" si="18"/>
        <v>4281.2030000000004</v>
      </c>
      <c r="V34" s="217">
        <v>1881.54</v>
      </c>
      <c r="W34" s="76">
        <f>6495.377+384</f>
        <v>6879.3770000000004</v>
      </c>
      <c r="X34" s="76">
        <v>250</v>
      </c>
      <c r="Y34" s="74">
        <f t="shared" si="19"/>
        <v>9010.9170000000013</v>
      </c>
      <c r="Z34" s="74"/>
      <c r="AA34" s="13">
        <f t="shared" si="20"/>
        <v>9010.9170000000013</v>
      </c>
      <c r="AB34" s="142">
        <f t="shared" si="12"/>
        <v>1.1237659163185136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12</v>
      </c>
      <c r="E35" s="76">
        <v>619.29999999999995</v>
      </c>
      <c r="F35" s="76">
        <v>18.346</v>
      </c>
      <c r="G35" s="74">
        <f t="shared" si="13"/>
        <v>649.64599999999996</v>
      </c>
      <c r="H35" s="74"/>
      <c r="I35" s="231">
        <f t="shared" si="14"/>
        <v>649.64599999999996</v>
      </c>
      <c r="J35" s="206"/>
      <c r="K35" s="208">
        <v>500</v>
      </c>
      <c r="L35" s="208">
        <v>100</v>
      </c>
      <c r="M35" s="196">
        <f>SUM(J35:L35)</f>
        <v>600</v>
      </c>
      <c r="N35" s="196"/>
      <c r="O35" s="166">
        <f t="shared" si="16"/>
        <v>600</v>
      </c>
      <c r="P35" s="83"/>
      <c r="Q35" s="76">
        <v>313.71199999999999</v>
      </c>
      <c r="R35" s="76">
        <v>25.2</v>
      </c>
      <c r="S35" s="74">
        <f t="shared" si="17"/>
        <v>338.91199999999998</v>
      </c>
      <c r="T35" s="74"/>
      <c r="U35" s="13">
        <f t="shared" si="18"/>
        <v>338.91199999999998</v>
      </c>
      <c r="V35" s="83">
        <v>12</v>
      </c>
      <c r="W35" s="76">
        <v>450</v>
      </c>
      <c r="X35" s="76">
        <v>120</v>
      </c>
      <c r="Y35" s="74">
        <f t="shared" si="19"/>
        <v>582</v>
      </c>
      <c r="Z35" s="74"/>
      <c r="AA35" s="13">
        <f t="shared" si="20"/>
        <v>582</v>
      </c>
      <c r="AB35" s="142">
        <f t="shared" si="12"/>
        <v>0.97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228">
        <v>34.137999999999998</v>
      </c>
      <c r="E36" s="76">
        <v>2633.3850000000002</v>
      </c>
      <c r="F36" s="76">
        <f>65.812+23.884</f>
        <v>89.695999999999998</v>
      </c>
      <c r="G36" s="74">
        <f t="shared" si="13"/>
        <v>2757.2190000000001</v>
      </c>
      <c r="H36" s="74"/>
      <c r="I36" s="231">
        <f t="shared" si="14"/>
        <v>2757.2190000000001</v>
      </c>
      <c r="J36" s="206">
        <v>35</v>
      </c>
      <c r="K36" s="208">
        <v>2777.5</v>
      </c>
      <c r="L36" s="208">
        <v>54</v>
      </c>
      <c r="M36" s="196">
        <f t="shared" ref="M36" si="21">SUM(J36:L36)</f>
        <v>2866.5</v>
      </c>
      <c r="N36" s="196"/>
      <c r="O36" s="166">
        <f t="shared" si="16"/>
        <v>2866.5</v>
      </c>
      <c r="P36" s="83"/>
      <c r="Q36" s="76">
        <f>1059.976+384.665+17.777</f>
        <v>1462.4180000000001</v>
      </c>
      <c r="R36" s="76">
        <f>0.992+0.36</f>
        <v>1.3519999999999999</v>
      </c>
      <c r="S36" s="74">
        <f t="shared" si="17"/>
        <v>1463.7700000000002</v>
      </c>
      <c r="T36" s="74"/>
      <c r="U36" s="13">
        <f t="shared" si="18"/>
        <v>1463.7700000000002</v>
      </c>
      <c r="V36" s="82">
        <v>779.94899999999996</v>
      </c>
      <c r="W36" s="76">
        <f>2347.54+126.912</f>
        <v>2474.4519999999998</v>
      </c>
      <c r="X36" s="76">
        <v>84.5</v>
      </c>
      <c r="Y36" s="74">
        <f t="shared" si="19"/>
        <v>3338.9009999999998</v>
      </c>
      <c r="Z36" s="74"/>
      <c r="AA36" s="13">
        <f t="shared" si="20"/>
        <v>3338.9009999999998</v>
      </c>
      <c r="AB36" s="142">
        <f t="shared" si="12"/>
        <v>1.164800627943485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/>
      <c r="G37" s="74">
        <f t="shared" si="13"/>
        <v>0</v>
      </c>
      <c r="H37" s="74"/>
      <c r="I37" s="231">
        <f t="shared" si="14"/>
        <v>0</v>
      </c>
      <c r="J37" s="206"/>
      <c r="K37" s="208"/>
      <c r="L37" s="208">
        <v>10</v>
      </c>
      <c r="M37" s="196">
        <f t="shared" si="15"/>
        <v>10</v>
      </c>
      <c r="N37" s="196"/>
      <c r="O37" s="166">
        <f t="shared" si="16"/>
        <v>10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2">
        <f t="shared" si="12"/>
        <v>0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205.3</v>
      </c>
      <c r="E38" s="76"/>
      <c r="F38" s="76">
        <v>452.62</v>
      </c>
      <c r="G38" s="74">
        <f t="shared" si="13"/>
        <v>657.92000000000007</v>
      </c>
      <c r="H38" s="74"/>
      <c r="I38" s="231">
        <f t="shared" si="14"/>
        <v>657.92000000000007</v>
      </c>
      <c r="J38" s="206">
        <v>205.3</v>
      </c>
      <c r="K38" s="208"/>
      <c r="L38" s="208">
        <v>425.6</v>
      </c>
      <c r="M38" s="196">
        <f t="shared" si="15"/>
        <v>630.90000000000009</v>
      </c>
      <c r="N38" s="196"/>
      <c r="O38" s="166">
        <f t="shared" si="16"/>
        <v>630.90000000000009</v>
      </c>
      <c r="P38" s="82">
        <f>80.25+22.416</f>
        <v>102.666</v>
      </c>
      <c r="Q38" s="76"/>
      <c r="R38" s="76">
        <f>2.052+7.98+5.275+56.16+7.338+13.98+41.112+14.855+77.533</f>
        <v>226.28499999999997</v>
      </c>
      <c r="S38" s="74">
        <f t="shared" si="17"/>
        <v>328.95099999999996</v>
      </c>
      <c r="T38" s="74"/>
      <c r="U38" s="13">
        <f t="shared" si="18"/>
        <v>328.95099999999996</v>
      </c>
      <c r="V38" s="82">
        <v>170.6</v>
      </c>
      <c r="W38" s="76"/>
      <c r="X38" s="76">
        <v>328.35599999999999</v>
      </c>
      <c r="Y38" s="74">
        <f t="shared" si="19"/>
        <v>498.95600000000002</v>
      </c>
      <c r="Z38" s="74"/>
      <c r="AA38" s="13">
        <f t="shared" si="20"/>
        <v>498.95600000000002</v>
      </c>
      <c r="AB38" s="142">
        <f t="shared" si="12"/>
        <v>0.79086384530036447</v>
      </c>
      <c r="AC38" s="3"/>
      <c r="AD38" s="3"/>
    </row>
    <row r="39" spans="1:30" ht="15.75" thickBot="1" x14ac:dyDescent="0.3">
      <c r="A39" s="4"/>
      <c r="B39" s="19" t="s">
        <v>35</v>
      </c>
      <c r="C39" s="102" t="s">
        <v>29</v>
      </c>
      <c r="D39" s="158">
        <f>1.01+16.624</f>
        <v>17.634</v>
      </c>
      <c r="E39" s="158">
        <v>426.5</v>
      </c>
      <c r="F39" s="78">
        <v>512.1</v>
      </c>
      <c r="G39" s="74">
        <f t="shared" si="13"/>
        <v>956.23400000000004</v>
      </c>
      <c r="H39" s="79"/>
      <c r="I39" s="232">
        <f t="shared" si="14"/>
        <v>956.23400000000004</v>
      </c>
      <c r="J39" s="209">
        <v>1</v>
      </c>
      <c r="K39" s="210">
        <v>92.3</v>
      </c>
      <c r="L39" s="210">
        <v>607.4</v>
      </c>
      <c r="M39" s="198">
        <f t="shared" si="15"/>
        <v>700.69999999999993</v>
      </c>
      <c r="N39" s="198"/>
      <c r="O39" s="186">
        <f t="shared" si="16"/>
        <v>700.69999999999993</v>
      </c>
      <c r="P39" s="84"/>
      <c r="Q39" s="78">
        <f>0.997+46.072</f>
        <v>47.069000000000003</v>
      </c>
      <c r="R39" s="78">
        <f>67.197+19.995+57.616+0.242+3.666</f>
        <v>148.71599999999998</v>
      </c>
      <c r="S39" s="79">
        <f t="shared" si="17"/>
        <v>195.78499999999997</v>
      </c>
      <c r="T39" s="79"/>
      <c r="U39" s="22">
        <f t="shared" si="18"/>
        <v>195.78499999999997</v>
      </c>
      <c r="V39" s="84">
        <f>18.815+190.572</f>
        <v>209.387</v>
      </c>
      <c r="W39" s="78">
        <v>83.3</v>
      </c>
      <c r="X39" s="78">
        <v>925.3</v>
      </c>
      <c r="Y39" s="79">
        <f t="shared" si="19"/>
        <v>1217.9870000000001</v>
      </c>
      <c r="Z39" s="79"/>
      <c r="AA39" s="22">
        <f t="shared" si="20"/>
        <v>1217.9870000000001</v>
      </c>
      <c r="AB39" s="145">
        <f t="shared" si="12"/>
        <v>1.7382431853860427</v>
      </c>
      <c r="AC39" s="3"/>
      <c r="AD39" s="3"/>
    </row>
    <row r="40" spans="1:30" ht="15.75" thickBot="1" x14ac:dyDescent="0.3">
      <c r="A40" s="4"/>
      <c r="B40" s="23" t="s">
        <v>47</v>
      </c>
      <c r="C40" s="103" t="s">
        <v>31</v>
      </c>
      <c r="D40" s="41">
        <f>SUM(D36:D39)+SUM(D29:D33)</f>
        <v>3370.7089999999998</v>
      </c>
      <c r="E40" s="41">
        <f>SUM(E36:E39)+SUM(E29:E33)</f>
        <v>12743.212</v>
      </c>
      <c r="F40" s="41">
        <f>SUM(F36:F39)+SUM(F29:F33)</f>
        <v>3110.55</v>
      </c>
      <c r="G40" s="141">
        <f>SUM(D40:F40)</f>
        <v>19224.470999999998</v>
      </c>
      <c r="H40" s="42">
        <f>SUM(H29:H33)+SUM(H36:H39)</f>
        <v>62.537999999999997</v>
      </c>
      <c r="I40" s="43">
        <f>SUM(I36:I39)+SUM(I29:I33)</f>
        <v>19287.008999999998</v>
      </c>
      <c r="J40" s="211">
        <f>SUM(J36:J39)+SUM(J29:J33)</f>
        <v>1947</v>
      </c>
      <c r="K40" s="211">
        <f>SUM(K36:K39)+SUM(K29:K33)</f>
        <v>11212.3</v>
      </c>
      <c r="L40" s="211">
        <f>SUM(L36:L39)+SUM(L29:L33)</f>
        <v>2947</v>
      </c>
      <c r="M40" s="199">
        <f>SUM(J40:L40)</f>
        <v>16106.3</v>
      </c>
      <c r="N40" s="200">
        <f>SUM(N29:N33)+SUM(N36:N39)</f>
        <v>350</v>
      </c>
      <c r="O40" s="201">
        <f>SUM(O36:O39)+SUM(O29:O33)</f>
        <v>16456.300000000003</v>
      </c>
      <c r="P40" s="41">
        <f>SUM(P36:P39)+SUM(P29:P33)</f>
        <v>1014.4349999999999</v>
      </c>
      <c r="Q40" s="41">
        <f>SUM(Q36:Q39)+SUM(Q29:Q33)</f>
        <v>6181.7230000000009</v>
      </c>
      <c r="R40" s="41">
        <f>SUM(R36:R39)+SUM(R29:R33)</f>
        <v>1438.5119999999997</v>
      </c>
      <c r="S40" s="141">
        <f>SUM(P40:R40)</f>
        <v>8634.6700000000019</v>
      </c>
      <c r="T40" s="42">
        <f>SUM(T29:T33)+SUM(T36:T39)</f>
        <v>3.8220000000000001</v>
      </c>
      <c r="U40" s="43">
        <f>SUM(U36:U39)+SUM(U29:U33)</f>
        <v>8638.492000000002</v>
      </c>
      <c r="V40" s="41">
        <f>SUM(V36:V39)+SUM(V29:V33)</f>
        <v>4726.8760000000002</v>
      </c>
      <c r="W40" s="41">
        <f>SUM(W36:W39)+SUM(W29:W33)</f>
        <v>9887.1290000000008</v>
      </c>
      <c r="X40" s="41">
        <f>SUM(X36:X39)+SUM(X29:X33)</f>
        <v>3508.1559999999999</v>
      </c>
      <c r="Y40" s="141">
        <f>SUM(V40:X40)+0.1</f>
        <v>18122.260999999999</v>
      </c>
      <c r="Z40" s="42">
        <f>SUM(Z29:Z33)+SUM(Z36:Z39)</f>
        <v>255</v>
      </c>
      <c r="AA40" s="43">
        <f>SUM(AA36:AA39)+SUM(AA29:AA33)</f>
        <v>18377.161</v>
      </c>
      <c r="AB40" s="147">
        <f t="shared" si="12"/>
        <v>1.1167249624763766</v>
      </c>
      <c r="AC40" s="3"/>
      <c r="AD40" s="3"/>
    </row>
    <row r="41" spans="1:30" ht="19.5" thickBot="1" x14ac:dyDescent="0.35">
      <c r="A41" s="4"/>
      <c r="B41" s="107" t="s">
        <v>48</v>
      </c>
      <c r="C41" s="108" t="s">
        <v>50</v>
      </c>
      <c r="D41" s="109">
        <f t="shared" ref="D41:Z41" si="22">D25-D40</f>
        <v>-377.70899999999983</v>
      </c>
      <c r="E41" s="109">
        <f t="shared" si="22"/>
        <v>-4.9999999999272404E-2</v>
      </c>
      <c r="F41" s="109">
        <f t="shared" si="22"/>
        <v>472.12999999999965</v>
      </c>
      <c r="G41" s="118">
        <f t="shared" si="22"/>
        <v>94.371000000002823</v>
      </c>
      <c r="H41" s="118">
        <f t="shared" si="22"/>
        <v>150.51</v>
      </c>
      <c r="I41" s="119">
        <f t="shared" si="22"/>
        <v>244.88100000000122</v>
      </c>
      <c r="J41" s="109">
        <f t="shared" si="22"/>
        <v>0</v>
      </c>
      <c r="K41" s="109">
        <f t="shared" si="22"/>
        <v>0</v>
      </c>
      <c r="L41" s="109">
        <f t="shared" si="22"/>
        <v>0</v>
      </c>
      <c r="M41" s="159">
        <f t="shared" si="22"/>
        <v>0</v>
      </c>
      <c r="N41" s="159">
        <f t="shared" si="22"/>
        <v>0</v>
      </c>
      <c r="O41" s="160">
        <f t="shared" si="22"/>
        <v>0</v>
      </c>
      <c r="P41" s="109">
        <f t="shared" si="22"/>
        <v>27.7650000000001</v>
      </c>
      <c r="Q41" s="109">
        <f t="shared" si="22"/>
        <v>561.23099999999886</v>
      </c>
      <c r="R41" s="109">
        <f t="shared" si="22"/>
        <v>900.01000000000022</v>
      </c>
      <c r="S41" s="118">
        <f t="shared" si="22"/>
        <v>1489.0059999999976</v>
      </c>
      <c r="T41" s="118">
        <f t="shared" si="22"/>
        <v>103.12899999999999</v>
      </c>
      <c r="U41" s="119">
        <f t="shared" si="22"/>
        <v>1592.1349999999984</v>
      </c>
      <c r="V41" s="109">
        <f t="shared" si="22"/>
        <v>0</v>
      </c>
      <c r="W41" s="109">
        <f t="shared" si="22"/>
        <v>2.899999999863212E-2</v>
      </c>
      <c r="X41" s="109">
        <f t="shared" si="22"/>
        <v>4.3999999999869033E-2</v>
      </c>
      <c r="Y41" s="118">
        <f t="shared" si="22"/>
        <v>-2.6999999998224666E-2</v>
      </c>
      <c r="Z41" s="118">
        <f t="shared" si="22"/>
        <v>0</v>
      </c>
      <c r="AA41" s="119">
        <f>AA25-AA40-0.1</f>
        <v>-2.6999999999679863E-2</v>
      </c>
      <c r="AB41" s="148" t="e">
        <f t="shared" si="12"/>
        <v>#DIV/0!</v>
      </c>
      <c r="AC41" s="3"/>
      <c r="AD41" s="3"/>
    </row>
    <row r="42" spans="1:30" ht="15.75" thickBot="1" x14ac:dyDescent="0.3">
      <c r="A42" s="4"/>
      <c r="B42" s="110" t="s">
        <v>49</v>
      </c>
      <c r="C42" s="111" t="s">
        <v>63</v>
      </c>
      <c r="D42" s="112"/>
      <c r="E42" s="113"/>
      <c r="F42" s="113"/>
      <c r="G42" s="114"/>
      <c r="H42" s="115"/>
      <c r="I42" s="116">
        <f>I41-D16</f>
        <v>-1565.1189999999988</v>
      </c>
      <c r="J42" s="112"/>
      <c r="K42" s="113"/>
      <c r="L42" s="113"/>
      <c r="M42" s="114"/>
      <c r="N42" s="117"/>
      <c r="O42" s="116">
        <f>O41-J16</f>
        <v>-1810</v>
      </c>
      <c r="P42" s="112"/>
      <c r="Q42" s="113"/>
      <c r="R42" s="113"/>
      <c r="S42" s="114"/>
      <c r="T42" s="117"/>
      <c r="U42" s="116">
        <f>U41-P16</f>
        <v>686.93499999999835</v>
      </c>
      <c r="V42" s="112"/>
      <c r="W42" s="113"/>
      <c r="X42" s="113"/>
      <c r="Y42" s="114"/>
      <c r="Z42" s="117"/>
      <c r="AA42" s="116">
        <f>AA41-V16</f>
        <v>-1856.0269999999996</v>
      </c>
      <c r="AB42" s="142">
        <f t="shared" si="12"/>
        <v>1.0254292817679556</v>
      </c>
      <c r="AC42" s="3"/>
      <c r="AD42" s="3"/>
    </row>
    <row r="43" spans="1:30" s="122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2" customFormat="1" ht="15.75" customHeight="1" thickBot="1" x14ac:dyDescent="0.3">
      <c r="A44" s="88"/>
      <c r="B44" s="92"/>
      <c r="C44" s="285" t="s">
        <v>80</v>
      </c>
      <c r="D44" s="106" t="s">
        <v>41</v>
      </c>
      <c r="E44" s="44" t="s">
        <v>81</v>
      </c>
      <c r="F44" s="45" t="s">
        <v>36</v>
      </c>
      <c r="G44" s="48"/>
      <c r="H44" s="48"/>
      <c r="I44" s="49"/>
      <c r="J44" s="106" t="s">
        <v>41</v>
      </c>
      <c r="K44" s="44" t="s">
        <v>81</v>
      </c>
      <c r="L44" s="45" t="s">
        <v>36</v>
      </c>
      <c r="M44" s="48"/>
      <c r="N44" s="48"/>
      <c r="O44" s="48"/>
      <c r="P44" s="106" t="s">
        <v>41</v>
      </c>
      <c r="Q44" s="44" t="s">
        <v>81</v>
      </c>
      <c r="R44" s="45" t="s">
        <v>36</v>
      </c>
      <c r="S44" s="91"/>
      <c r="T44" s="91"/>
      <c r="U44" s="91"/>
      <c r="V44" s="106" t="s">
        <v>41</v>
      </c>
      <c r="W44" s="44" t="s">
        <v>81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2"/>
      <c r="C45" s="286"/>
      <c r="D45" s="94">
        <v>205.33199999999999</v>
      </c>
      <c r="E45" s="104">
        <v>205.33199999999999</v>
      </c>
      <c r="F45" s="105">
        <v>0</v>
      </c>
      <c r="G45" s="48"/>
      <c r="H45" s="48"/>
      <c r="I45" s="49"/>
      <c r="J45" s="94">
        <v>205.33199999999999</v>
      </c>
      <c r="K45" s="104">
        <v>205.3</v>
      </c>
      <c r="L45" s="105">
        <v>0</v>
      </c>
      <c r="M45" s="93"/>
      <c r="N45" s="93"/>
      <c r="O45" s="93"/>
      <c r="P45" s="94"/>
      <c r="Q45" s="104">
        <v>0</v>
      </c>
      <c r="R45" s="105">
        <v>0</v>
      </c>
      <c r="S45" s="3"/>
      <c r="T45" s="3"/>
      <c r="U45" s="3"/>
      <c r="V45" s="94">
        <v>170.61199999999999</v>
      </c>
      <c r="W45" s="104">
        <v>170.6</v>
      </c>
      <c r="X45" s="105"/>
      <c r="Y45" s="3"/>
      <c r="Z45" s="3"/>
      <c r="AA45" s="3"/>
      <c r="AB45" s="3"/>
      <c r="AC45" s="3"/>
      <c r="AD45" s="3"/>
    </row>
    <row r="46" spans="1:30" s="122" customFormat="1" ht="8.25" customHeight="1" thickBot="1" x14ac:dyDescent="0.3">
      <c r="A46" s="88"/>
      <c r="B46" s="92"/>
      <c r="C46" s="47"/>
      <c r="D46" s="93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2" customFormat="1" ht="37.5" customHeight="1" thickBot="1" x14ac:dyDescent="0.3">
      <c r="A47" s="88"/>
      <c r="B47" s="92"/>
      <c r="C47" s="285" t="s">
        <v>83</v>
      </c>
      <c r="D47" s="95" t="s">
        <v>84</v>
      </c>
      <c r="E47" s="96" t="s">
        <v>82</v>
      </c>
      <c r="F47" s="48"/>
      <c r="G47" s="48"/>
      <c r="H47" s="48"/>
      <c r="I47" s="49"/>
      <c r="J47" s="95" t="s">
        <v>84</v>
      </c>
      <c r="K47" s="96" t="s">
        <v>82</v>
      </c>
      <c r="L47" s="143"/>
      <c r="M47" s="143"/>
      <c r="N47" s="91"/>
      <c r="O47" s="91"/>
      <c r="P47" s="95" t="s">
        <v>84</v>
      </c>
      <c r="Q47" s="96" t="s">
        <v>82</v>
      </c>
      <c r="R47" s="91"/>
      <c r="S47" s="91"/>
      <c r="T47" s="91"/>
      <c r="U47" s="91"/>
      <c r="V47" s="95" t="s">
        <v>84</v>
      </c>
      <c r="W47" s="96" t="s">
        <v>82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287"/>
      <c r="D48" s="94">
        <v>0</v>
      </c>
      <c r="E48" s="97">
        <v>0</v>
      </c>
      <c r="F48" s="48"/>
      <c r="G48" s="48"/>
      <c r="H48" s="48"/>
      <c r="I48" s="49"/>
      <c r="J48" s="94">
        <v>0</v>
      </c>
      <c r="K48" s="97">
        <v>0</v>
      </c>
      <c r="L48" s="144"/>
      <c r="M48" s="144"/>
      <c r="N48" s="3"/>
      <c r="O48" s="3"/>
      <c r="P48" s="94">
        <v>0</v>
      </c>
      <c r="Q48" s="97">
        <v>0</v>
      </c>
      <c r="R48" s="3"/>
      <c r="S48" s="3"/>
      <c r="T48" s="3"/>
      <c r="U48" s="3"/>
      <c r="V48" s="94">
        <v>0</v>
      </c>
      <c r="W48" s="97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8" t="s">
        <v>79</v>
      </c>
      <c r="D50" s="99" t="s">
        <v>71</v>
      </c>
      <c r="E50" s="99" t="s">
        <v>72</v>
      </c>
      <c r="F50" s="99" t="s">
        <v>88</v>
      </c>
      <c r="G50" s="99" t="s">
        <v>90</v>
      </c>
      <c r="H50" s="48"/>
      <c r="I50" s="3"/>
      <c r="J50" s="99" t="s">
        <v>71</v>
      </c>
      <c r="K50" s="99" t="s">
        <v>72</v>
      </c>
      <c r="L50" s="99" t="s">
        <v>88</v>
      </c>
      <c r="M50" s="99" t="s">
        <v>91</v>
      </c>
      <c r="N50" s="3"/>
      <c r="O50" s="3"/>
      <c r="P50" s="99" t="s">
        <v>71</v>
      </c>
      <c r="Q50" s="99" t="s">
        <v>72</v>
      </c>
      <c r="R50" s="99" t="s">
        <v>88</v>
      </c>
      <c r="S50" s="99" t="s">
        <v>91</v>
      </c>
      <c r="T50" s="3"/>
      <c r="U50" s="3"/>
      <c r="V50" s="99" t="s">
        <v>92</v>
      </c>
      <c r="W50" s="99" t="s">
        <v>72</v>
      </c>
      <c r="X50" s="99" t="s">
        <v>88</v>
      </c>
      <c r="Y50" s="99" t="s">
        <v>91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68</v>
      </c>
      <c r="D51" s="85">
        <f>SUM(D52:D55)</f>
        <v>4599.3029999999999</v>
      </c>
      <c r="E51" s="85">
        <f t="shared" ref="E51:G51" si="23">SUM(E52:E55)</f>
        <v>712.75900000000001</v>
      </c>
      <c r="F51" s="85">
        <f t="shared" si="23"/>
        <v>1633.9189999999999</v>
      </c>
      <c r="G51" s="85">
        <f t="shared" si="23"/>
        <v>3678.143</v>
      </c>
      <c r="H51" s="48"/>
      <c r="I51" s="3"/>
      <c r="J51" s="51">
        <f>SUM(J52:J55)</f>
        <v>3175.4000000000005</v>
      </c>
      <c r="K51" s="51">
        <f t="shared" ref="K51:M51" si="24">SUM(K52:K55)</f>
        <v>477</v>
      </c>
      <c r="L51" s="51">
        <f t="shared" si="24"/>
        <v>1812.3</v>
      </c>
      <c r="M51" s="51">
        <f t="shared" si="24"/>
        <v>1840.1000000000001</v>
      </c>
      <c r="N51" s="3"/>
      <c r="O51" s="3"/>
      <c r="P51" s="85">
        <f>SUM(P52:P55)</f>
        <v>3678.1440000000002</v>
      </c>
      <c r="Q51" s="85">
        <f t="shared" ref="Q51:R51" si="25">SUM(Q52:Q55)</f>
        <v>439.74200000000002</v>
      </c>
      <c r="R51" s="85">
        <f t="shared" si="25"/>
        <v>1008.136</v>
      </c>
      <c r="S51" s="51">
        <f>P51+Q51-R51</f>
        <v>3109.7500000000005</v>
      </c>
      <c r="T51" s="3"/>
      <c r="U51" s="3"/>
      <c r="V51" s="85">
        <f>SUM(V52:V55)</f>
        <v>1832.3309999999999</v>
      </c>
      <c r="W51" s="85">
        <f t="shared" ref="W51:Y51" si="26">SUM(W52:W55)</f>
        <v>270.36099999999999</v>
      </c>
      <c r="X51" s="85">
        <f t="shared" si="26"/>
        <v>170.61199999999999</v>
      </c>
      <c r="Y51" s="85">
        <f t="shared" si="26"/>
        <v>1932.0800000000002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69</v>
      </c>
      <c r="D52" s="85">
        <f>199.069+3704.519</f>
        <v>3903.5879999999997</v>
      </c>
      <c r="E52" s="85">
        <f>193.892+88.422</f>
        <v>282.31399999999996</v>
      </c>
      <c r="F52" s="85">
        <v>1311.4169999999999</v>
      </c>
      <c r="G52" s="51">
        <f t="shared" ref="G52:G55" si="27">D52+E52-F52</f>
        <v>2874.4850000000001</v>
      </c>
      <c r="H52" s="48"/>
      <c r="I52" s="3"/>
      <c r="J52" s="51">
        <v>2370.4</v>
      </c>
      <c r="K52" s="85">
        <v>100</v>
      </c>
      <c r="L52" s="85">
        <v>1500</v>
      </c>
      <c r="M52" s="51">
        <f t="shared" ref="M52:M55" si="28">J52+K52-L52</f>
        <v>970.40000000000009</v>
      </c>
      <c r="N52" s="3"/>
      <c r="O52" s="3"/>
      <c r="P52" s="85">
        <f>2481.523+392.961</f>
        <v>2874.4840000000004</v>
      </c>
      <c r="Q52" s="85">
        <f>1.5+196.969</f>
        <v>198.46899999999999</v>
      </c>
      <c r="R52" s="85">
        <v>961.63599999999997</v>
      </c>
      <c r="S52" s="51">
        <f t="shared" ref="S52:S55" si="29">P52+Q52-R52</f>
        <v>2111.3170000000005</v>
      </c>
      <c r="T52" s="3"/>
      <c r="U52" s="3"/>
      <c r="V52" s="85">
        <v>970.4</v>
      </c>
      <c r="W52" s="85">
        <v>29.6</v>
      </c>
      <c r="X52" s="85">
        <v>0</v>
      </c>
      <c r="Y52" s="51">
        <f t="shared" ref="Y52:Y55" si="30">V52+W52-X52</f>
        <v>1000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70</v>
      </c>
      <c r="D53" s="85">
        <v>129.666</v>
      </c>
      <c r="E53" s="85">
        <v>300.92500000000001</v>
      </c>
      <c r="F53" s="85">
        <v>205.33199999999999</v>
      </c>
      <c r="G53" s="51">
        <f t="shared" si="27"/>
        <v>225.25900000000001</v>
      </c>
      <c r="H53" s="48"/>
      <c r="I53" s="3"/>
      <c r="J53" s="51">
        <v>225.3</v>
      </c>
      <c r="K53" s="85">
        <v>300</v>
      </c>
      <c r="L53" s="85">
        <v>205.3</v>
      </c>
      <c r="M53" s="51">
        <f t="shared" si="28"/>
        <v>319.99999999999994</v>
      </c>
      <c r="N53" s="3"/>
      <c r="O53" s="3"/>
      <c r="P53" s="85">
        <v>225.26</v>
      </c>
      <c r="Q53" s="85">
        <v>150.46100000000001</v>
      </c>
      <c r="R53" s="85">
        <v>0</v>
      </c>
      <c r="S53" s="51">
        <f t="shared" si="29"/>
        <v>375.721</v>
      </c>
      <c r="T53" s="3"/>
      <c r="U53" s="3"/>
      <c r="V53" s="85">
        <v>312.23099999999999</v>
      </c>
      <c r="W53" s="85">
        <v>240.761</v>
      </c>
      <c r="X53" s="85">
        <v>170.61199999999999</v>
      </c>
      <c r="Y53" s="51">
        <f t="shared" si="30"/>
        <v>382.38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85</v>
      </c>
      <c r="D54" s="85">
        <v>297.92099999999999</v>
      </c>
      <c r="E54" s="85">
        <v>48.47</v>
      </c>
      <c r="F54" s="85">
        <v>0</v>
      </c>
      <c r="G54" s="51">
        <f t="shared" si="27"/>
        <v>346.39099999999996</v>
      </c>
      <c r="H54" s="48"/>
      <c r="I54" s="3"/>
      <c r="J54" s="51">
        <v>346.4</v>
      </c>
      <c r="K54" s="85">
        <v>0</v>
      </c>
      <c r="L54" s="85">
        <v>0</v>
      </c>
      <c r="M54" s="51">
        <f t="shared" si="28"/>
        <v>346.4</v>
      </c>
      <c r="N54" s="3"/>
      <c r="O54" s="3"/>
      <c r="P54" s="85">
        <v>346.392</v>
      </c>
      <c r="Q54" s="85">
        <v>48</v>
      </c>
      <c r="R54" s="85">
        <v>0</v>
      </c>
      <c r="S54" s="51">
        <f t="shared" si="29"/>
        <v>394.392</v>
      </c>
      <c r="T54" s="3"/>
      <c r="U54" s="3"/>
      <c r="V54" s="85">
        <v>346.4</v>
      </c>
      <c r="W54" s="85">
        <v>0</v>
      </c>
      <c r="X54" s="85">
        <v>0</v>
      </c>
      <c r="Y54" s="51">
        <f t="shared" si="30"/>
        <v>346.4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131" t="s">
        <v>86</v>
      </c>
      <c r="D55" s="85">
        <v>268.12799999999999</v>
      </c>
      <c r="E55" s="85">
        <v>81.05</v>
      </c>
      <c r="F55" s="85">
        <v>117.17</v>
      </c>
      <c r="G55" s="51">
        <f t="shared" si="27"/>
        <v>232.00799999999998</v>
      </c>
      <c r="H55" s="48"/>
      <c r="I55" s="3"/>
      <c r="J55" s="51">
        <v>233.3</v>
      </c>
      <c r="K55" s="85">
        <v>77</v>
      </c>
      <c r="L55" s="85">
        <v>107</v>
      </c>
      <c r="M55" s="51">
        <f t="shared" si="28"/>
        <v>203.3</v>
      </c>
      <c r="N55" s="3"/>
      <c r="O55" s="3"/>
      <c r="P55" s="85">
        <v>232.00800000000001</v>
      </c>
      <c r="Q55" s="85">
        <v>42.811999999999998</v>
      </c>
      <c r="R55" s="85">
        <v>46.5</v>
      </c>
      <c r="S55" s="51">
        <f t="shared" si="29"/>
        <v>228.32</v>
      </c>
      <c r="T55" s="3"/>
      <c r="U55" s="3"/>
      <c r="V55" s="85">
        <v>203.3</v>
      </c>
      <c r="W55" s="85"/>
      <c r="X55" s="85"/>
      <c r="Y55" s="51">
        <f t="shared" si="30"/>
        <v>203.3</v>
      </c>
      <c r="Z55" s="3"/>
      <c r="AA55" s="3"/>
      <c r="AB55" s="3"/>
      <c r="AC55" s="3"/>
      <c r="AD55" s="3"/>
    </row>
    <row r="56" spans="1:30" ht="10.5" customHeight="1" x14ac:dyDescent="0.25">
      <c r="A56" s="4"/>
      <c r="B56" s="46"/>
      <c r="C56" s="47"/>
      <c r="D56" s="48"/>
      <c r="E56" s="48"/>
      <c r="F56" s="48"/>
      <c r="G56" s="48"/>
      <c r="H56" s="4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98" t="s">
        <v>73</v>
      </c>
      <c r="D57" s="99" t="s">
        <v>74</v>
      </c>
      <c r="E57" s="99" t="s">
        <v>93</v>
      </c>
      <c r="F57" s="48"/>
      <c r="G57" s="48"/>
      <c r="H57" s="48"/>
      <c r="I57" s="49"/>
      <c r="J57" s="99" t="s">
        <v>94</v>
      </c>
      <c r="K57" s="48"/>
      <c r="L57" s="48"/>
      <c r="M57" s="48"/>
      <c r="N57" s="48"/>
      <c r="O57" s="49"/>
      <c r="P57" s="99" t="s">
        <v>95</v>
      </c>
      <c r="Q57" s="49"/>
      <c r="R57" s="49"/>
      <c r="S57" s="3"/>
      <c r="T57" s="3"/>
      <c r="U57" s="3"/>
      <c r="V57" s="302" t="s">
        <v>73</v>
      </c>
      <c r="W57" s="302"/>
      <c r="X57" s="302"/>
      <c r="Y57" s="99" t="s">
        <v>94</v>
      </c>
      <c r="Z57" s="3"/>
      <c r="AA57" s="3"/>
      <c r="AB57" s="3"/>
      <c r="AC57" s="3"/>
      <c r="AD57" s="3"/>
    </row>
    <row r="58" spans="1:30" x14ac:dyDescent="0.25">
      <c r="A58" s="4"/>
      <c r="B58" s="46"/>
      <c r="C58" s="212" t="s">
        <v>115</v>
      </c>
      <c r="D58" s="214">
        <v>15.282999999999999</v>
      </c>
      <c r="E58" s="214">
        <v>16.582000000000001</v>
      </c>
      <c r="F58" s="48"/>
      <c r="G58" s="48"/>
      <c r="H58" s="48"/>
      <c r="I58" s="49"/>
      <c r="J58" s="86">
        <v>16</v>
      </c>
      <c r="K58" s="48"/>
      <c r="L58" s="48"/>
      <c r="M58" s="48"/>
      <c r="N58" s="48"/>
      <c r="O58" s="49"/>
      <c r="P58" s="86">
        <v>17.010999999999999</v>
      </c>
      <c r="Q58" s="49"/>
      <c r="R58" s="49"/>
      <c r="S58" s="3"/>
      <c r="T58" s="3"/>
      <c r="U58" s="3"/>
      <c r="V58" s="281" t="s">
        <v>115</v>
      </c>
      <c r="W58" s="281"/>
      <c r="X58" s="281"/>
      <c r="Y58" s="86">
        <v>16</v>
      </c>
      <c r="Z58" s="3"/>
      <c r="AA58" s="3"/>
      <c r="AB58" s="3"/>
      <c r="AC58" s="3"/>
      <c r="AD58" s="3"/>
    </row>
    <row r="59" spans="1:30" ht="17.25" customHeight="1" x14ac:dyDescent="0.25">
      <c r="A59" s="4"/>
      <c r="B59" s="46"/>
      <c r="C59" s="215"/>
      <c r="D59" s="216"/>
      <c r="E59" s="216"/>
      <c r="F59" s="48"/>
      <c r="G59" s="48"/>
      <c r="H59" s="48"/>
      <c r="I59" s="49"/>
      <c r="J59" s="93"/>
      <c r="K59" s="48"/>
      <c r="L59" s="48"/>
      <c r="M59" s="48"/>
      <c r="N59" s="48"/>
      <c r="O59" s="49"/>
      <c r="P59" s="93"/>
      <c r="Q59" s="49"/>
      <c r="R59" s="49"/>
      <c r="S59" s="3"/>
      <c r="T59" s="3"/>
      <c r="U59" s="3"/>
      <c r="V59" s="281" t="s">
        <v>116</v>
      </c>
      <c r="W59" s="281"/>
      <c r="X59" s="281"/>
      <c r="Y59" s="86">
        <v>5</v>
      </c>
      <c r="Z59" s="3"/>
      <c r="AA59" s="3"/>
      <c r="AB59" s="3"/>
      <c r="AC59" s="3"/>
      <c r="AD59" s="3"/>
    </row>
    <row r="60" spans="1:30" ht="17.25" customHeight="1" x14ac:dyDescent="0.25">
      <c r="A60" s="4"/>
      <c r="B60" s="46"/>
      <c r="C60" s="215"/>
      <c r="D60" s="216"/>
      <c r="E60" s="216"/>
      <c r="F60" s="48"/>
      <c r="G60" s="48"/>
      <c r="H60" s="48"/>
      <c r="I60" s="49"/>
      <c r="J60" s="93"/>
      <c r="K60" s="48"/>
      <c r="L60" s="48"/>
      <c r="M60" s="48"/>
      <c r="N60" s="48"/>
      <c r="O60" s="49"/>
      <c r="P60" s="93"/>
      <c r="Q60" s="49"/>
      <c r="R60" s="49"/>
      <c r="S60" s="3"/>
      <c r="T60" s="3"/>
      <c r="U60" s="3"/>
      <c r="V60" s="233"/>
      <c r="W60" s="233"/>
      <c r="X60" s="233"/>
      <c r="Y60" s="234"/>
      <c r="Z60" s="3"/>
      <c r="AA60" s="3"/>
      <c r="AB60" s="3"/>
      <c r="AC60" s="3"/>
      <c r="AD60" s="3"/>
    </row>
    <row r="61" spans="1:30" ht="17.25" customHeight="1" x14ac:dyDescent="0.25">
      <c r="A61" s="4"/>
      <c r="B61" s="46"/>
      <c r="C61" s="215"/>
      <c r="D61" s="216"/>
      <c r="E61" s="216"/>
      <c r="F61" s="48"/>
      <c r="G61" s="48"/>
      <c r="H61" s="48"/>
      <c r="I61" s="49"/>
      <c r="J61" s="93"/>
      <c r="K61" s="48"/>
      <c r="L61" s="48"/>
      <c r="M61" s="48"/>
      <c r="N61" s="48"/>
      <c r="O61" s="49"/>
      <c r="P61" s="93"/>
      <c r="Q61" s="49"/>
      <c r="R61" s="49"/>
      <c r="S61" s="3"/>
      <c r="T61" s="3"/>
      <c r="U61" s="3"/>
      <c r="V61" s="243" t="s">
        <v>152</v>
      </c>
      <c r="W61" s="243"/>
      <c r="X61" s="243"/>
      <c r="Y61" s="241">
        <v>1881.6</v>
      </c>
      <c r="Z61" s="3"/>
      <c r="AA61" s="3"/>
      <c r="AB61" s="3"/>
      <c r="AC61" s="3"/>
      <c r="AD61" s="3"/>
    </row>
    <row r="62" spans="1:30" ht="17.25" customHeight="1" x14ac:dyDescent="0.25">
      <c r="A62" s="4"/>
      <c r="B62" s="46"/>
      <c r="C62" s="215"/>
      <c r="D62" s="216"/>
      <c r="E62" s="216"/>
      <c r="F62" s="48"/>
      <c r="G62" s="48"/>
      <c r="H62" s="48"/>
      <c r="I62" s="49"/>
      <c r="J62" s="93"/>
      <c r="K62" s="48"/>
      <c r="L62" s="48"/>
      <c r="M62" s="48"/>
      <c r="N62" s="48"/>
      <c r="O62" s="49"/>
      <c r="P62" s="93"/>
      <c r="Q62" s="49"/>
      <c r="R62" s="49"/>
      <c r="S62" s="3"/>
      <c r="T62" s="3"/>
      <c r="U62" s="3"/>
      <c r="V62" s="243" t="s">
        <v>160</v>
      </c>
      <c r="W62" s="243"/>
      <c r="X62" s="243"/>
      <c r="Y62" s="241">
        <v>400</v>
      </c>
      <c r="Z62" s="3"/>
      <c r="AA62" s="3"/>
      <c r="AB62" s="3"/>
      <c r="AC62" s="3"/>
      <c r="AD62" s="3"/>
    </row>
    <row r="63" spans="1:30" ht="17.25" customHeight="1" x14ac:dyDescent="0.25">
      <c r="A63" s="4"/>
      <c r="B63" s="46"/>
      <c r="C63" s="215"/>
      <c r="D63" s="216"/>
      <c r="E63" s="216"/>
      <c r="F63" s="48"/>
      <c r="G63" s="48"/>
      <c r="H63" s="48"/>
      <c r="I63" s="49"/>
      <c r="J63" s="93"/>
      <c r="K63" s="48"/>
      <c r="L63" s="48"/>
      <c r="M63" s="48"/>
      <c r="N63" s="48"/>
      <c r="O63" s="49"/>
      <c r="P63" s="93"/>
      <c r="Q63" s="49"/>
      <c r="R63" s="49"/>
      <c r="S63" s="3"/>
      <c r="T63" s="3"/>
      <c r="U63" s="3"/>
      <c r="V63" s="314" t="s">
        <v>161</v>
      </c>
      <c r="W63" s="315"/>
      <c r="X63" s="316"/>
      <c r="Y63" s="241">
        <f>SUM(Y61:Y62)</f>
        <v>2281.6</v>
      </c>
      <c r="Z63" s="3"/>
      <c r="AA63" s="3"/>
      <c r="AB63" s="3"/>
      <c r="AC63" s="3"/>
      <c r="AD63" s="3"/>
    </row>
    <row r="64" spans="1:30" ht="17.25" customHeight="1" x14ac:dyDescent="0.25">
      <c r="A64" s="4"/>
      <c r="B64" s="46"/>
      <c r="C64" s="215"/>
      <c r="D64" s="216"/>
      <c r="E64" s="216"/>
      <c r="F64" s="48"/>
      <c r="G64" s="48"/>
      <c r="H64" s="48"/>
      <c r="I64" s="49"/>
      <c r="J64" s="93"/>
      <c r="K64" s="48"/>
      <c r="L64" s="48"/>
      <c r="M64" s="48"/>
      <c r="N64" s="48"/>
      <c r="O64" s="49"/>
      <c r="P64" s="93"/>
      <c r="Q64" s="49"/>
      <c r="R64" s="49"/>
      <c r="S64" s="3"/>
      <c r="T64" s="3"/>
      <c r="U64" s="3"/>
      <c r="V64" s="237"/>
      <c r="W64" s="237"/>
      <c r="X64" s="237"/>
      <c r="Y64" s="93"/>
      <c r="Z64" s="3"/>
      <c r="AA64" s="3"/>
      <c r="AB64" s="3"/>
      <c r="AC64" s="3"/>
      <c r="AD64" s="3"/>
    </row>
    <row r="65" spans="1:30" ht="17.25" customHeight="1" x14ac:dyDescent="0.25">
      <c r="A65" s="4"/>
      <c r="B65" s="46"/>
      <c r="C65" s="215"/>
      <c r="D65" s="216"/>
      <c r="E65" s="216"/>
      <c r="F65" s="48"/>
      <c r="G65" s="48"/>
      <c r="H65" s="48"/>
      <c r="I65" s="49"/>
      <c r="J65" s="93"/>
      <c r="K65" s="48"/>
      <c r="L65" s="48"/>
      <c r="M65" s="48"/>
      <c r="N65" s="48"/>
      <c r="O65" s="49"/>
      <c r="P65" s="93"/>
      <c r="Q65" s="49"/>
      <c r="R65" s="49"/>
      <c r="S65" s="3"/>
      <c r="T65" s="3"/>
      <c r="U65" s="239" t="s">
        <v>153</v>
      </c>
      <c r="V65" s="236"/>
      <c r="W65" s="236"/>
      <c r="X65" s="236"/>
      <c r="Y65" s="240" t="s">
        <v>154</v>
      </c>
      <c r="Z65" s="3"/>
      <c r="AA65" s="238" t="s">
        <v>155</v>
      </c>
      <c r="AB65" s="238"/>
      <c r="AC65" s="3"/>
      <c r="AD65" s="3"/>
    </row>
    <row r="66" spans="1:30" ht="17.25" customHeight="1" x14ac:dyDescent="0.25">
      <c r="A66" s="4"/>
      <c r="B66" s="46"/>
      <c r="C66" s="215"/>
      <c r="D66" s="216"/>
      <c r="E66" s="216"/>
      <c r="F66" s="48"/>
      <c r="G66" s="48"/>
      <c r="H66" s="48"/>
      <c r="I66" s="49"/>
      <c r="J66" s="93"/>
      <c r="K66" s="48"/>
      <c r="L66" s="48"/>
      <c r="M66" s="48"/>
      <c r="N66" s="48"/>
      <c r="O66" s="49"/>
      <c r="P66" s="93"/>
      <c r="Q66" s="49"/>
      <c r="R66" s="49"/>
      <c r="S66" s="3"/>
      <c r="T66" s="3"/>
      <c r="U66" s="278" t="s">
        <v>107</v>
      </c>
      <c r="V66" s="279"/>
      <c r="W66" s="279"/>
      <c r="X66" s="280"/>
      <c r="Y66" s="241">
        <v>1881540</v>
      </c>
      <c r="Z66" s="3"/>
      <c r="AA66" s="242" t="s">
        <v>156</v>
      </c>
      <c r="AB66" s="244">
        <v>117600</v>
      </c>
      <c r="AC66" s="3"/>
      <c r="AD66" s="3"/>
    </row>
    <row r="67" spans="1:30" ht="17.25" customHeight="1" x14ac:dyDescent="0.25">
      <c r="A67" s="4"/>
      <c r="B67" s="46"/>
      <c r="C67" s="215"/>
      <c r="D67" s="216"/>
      <c r="E67" s="216"/>
      <c r="F67" s="48"/>
      <c r="G67" s="48"/>
      <c r="H67" s="48"/>
      <c r="I67" s="49"/>
      <c r="J67" s="93"/>
      <c r="K67" s="48"/>
      <c r="L67" s="48"/>
      <c r="M67" s="48"/>
      <c r="N67" s="48"/>
      <c r="O67" s="49"/>
      <c r="P67" s="93"/>
      <c r="Q67" s="49"/>
      <c r="R67" s="49"/>
      <c r="S67" s="3"/>
      <c r="T67" s="3"/>
      <c r="U67" s="278" t="s">
        <v>108</v>
      </c>
      <c r="V67" s="279"/>
      <c r="W67" s="279"/>
      <c r="X67" s="280"/>
      <c r="Y67" s="241">
        <v>779949</v>
      </c>
      <c r="Z67" s="3"/>
      <c r="AA67" s="242" t="s">
        <v>157</v>
      </c>
      <c r="AB67" s="244">
        <v>72000</v>
      </c>
      <c r="AC67" s="3"/>
      <c r="AD67" s="3"/>
    </row>
    <row r="68" spans="1:30" ht="17.25" customHeight="1" x14ac:dyDescent="0.25">
      <c r="A68" s="4"/>
      <c r="B68" s="46"/>
      <c r="C68" s="215"/>
      <c r="D68" s="216"/>
      <c r="E68" s="216"/>
      <c r="F68" s="48"/>
      <c r="G68" s="48"/>
      <c r="H68" s="48"/>
      <c r="I68" s="49"/>
      <c r="J68" s="93"/>
      <c r="K68" s="48"/>
      <c r="L68" s="48"/>
      <c r="M68" s="48"/>
      <c r="N68" s="48"/>
      <c r="O68" s="49"/>
      <c r="P68" s="93"/>
      <c r="Q68" s="49"/>
      <c r="R68" s="49"/>
      <c r="S68" s="3"/>
      <c r="T68" s="3"/>
      <c r="U68" s="278" t="s">
        <v>159</v>
      </c>
      <c r="V68" s="279"/>
      <c r="W68" s="279"/>
      <c r="X68" s="280"/>
      <c r="Y68" s="241">
        <v>0</v>
      </c>
      <c r="Z68" s="3"/>
      <c r="AA68" s="242" t="s">
        <v>158</v>
      </c>
      <c r="AB68" s="244">
        <v>144000</v>
      </c>
      <c r="AC68" s="3"/>
      <c r="AD68" s="3"/>
    </row>
    <row r="69" spans="1:30" ht="17.25" customHeight="1" x14ac:dyDescent="0.25">
      <c r="A69" s="4"/>
      <c r="B69" s="46"/>
      <c r="C69" s="215"/>
      <c r="D69" s="216"/>
      <c r="E69" s="216"/>
      <c r="F69" s="48"/>
      <c r="G69" s="48"/>
      <c r="H69" s="48"/>
      <c r="I69" s="49"/>
      <c r="J69" s="93"/>
      <c r="K69" s="48"/>
      <c r="L69" s="48"/>
      <c r="M69" s="48"/>
      <c r="N69" s="48"/>
      <c r="O69" s="49"/>
      <c r="P69" s="93"/>
      <c r="Q69" s="49"/>
      <c r="R69" s="49"/>
      <c r="S69" s="3"/>
      <c r="T69" s="3"/>
      <c r="U69" s="278" t="s">
        <v>110</v>
      </c>
      <c r="V69" s="279"/>
      <c r="W69" s="279"/>
      <c r="X69" s="280"/>
      <c r="Y69" s="241">
        <v>18815</v>
      </c>
      <c r="Z69" s="3"/>
      <c r="AA69" s="3"/>
      <c r="AB69" s="235"/>
      <c r="AC69" s="3"/>
      <c r="AD69" s="3"/>
    </row>
    <row r="70" spans="1:30" ht="17.25" customHeight="1" x14ac:dyDescent="0.25">
      <c r="A70" s="4"/>
      <c r="B70" s="46"/>
      <c r="C70" s="215"/>
      <c r="D70" s="216"/>
      <c r="E70" s="216"/>
      <c r="F70" s="48"/>
      <c r="G70" s="48"/>
      <c r="H70" s="48"/>
      <c r="I70" s="49"/>
      <c r="J70" s="93"/>
      <c r="K70" s="48"/>
      <c r="L70" s="48"/>
      <c r="M70" s="48"/>
      <c r="N70" s="48"/>
      <c r="O70" s="49"/>
      <c r="P70" s="93"/>
      <c r="Q70" s="49"/>
      <c r="R70" s="49"/>
      <c r="S70" s="3"/>
      <c r="T70" s="3"/>
      <c r="U70" s="278" t="s">
        <v>109</v>
      </c>
      <c r="V70" s="279"/>
      <c r="W70" s="279"/>
      <c r="X70" s="280"/>
      <c r="Y70" s="241">
        <v>190572</v>
      </c>
      <c r="Z70" s="3"/>
      <c r="AA70" s="3"/>
      <c r="AB70" s="3"/>
      <c r="AC70" s="3"/>
      <c r="AD70" s="3"/>
    </row>
    <row r="71" spans="1:30" ht="17.25" customHeight="1" x14ac:dyDescent="0.25">
      <c r="A71" s="4"/>
      <c r="B71" s="46"/>
      <c r="C71" s="215"/>
      <c r="D71" s="216"/>
      <c r="E71" s="216"/>
      <c r="F71" s="48"/>
      <c r="G71" s="48"/>
      <c r="H71" s="48"/>
      <c r="I71" s="49"/>
      <c r="J71" s="93"/>
      <c r="K71" s="48"/>
      <c r="L71" s="48"/>
      <c r="M71" s="48"/>
      <c r="N71" s="48"/>
      <c r="O71" s="49"/>
      <c r="P71" s="93"/>
      <c r="Q71" s="49"/>
      <c r="R71" s="49"/>
      <c r="S71" s="3"/>
      <c r="T71" s="3"/>
      <c r="U71" s="242" t="s">
        <v>114</v>
      </c>
      <c r="V71" s="243"/>
      <c r="W71" s="243"/>
      <c r="X71" s="243"/>
      <c r="Y71" s="241">
        <v>0</v>
      </c>
      <c r="Z71" s="3"/>
      <c r="AA71" s="3"/>
      <c r="AB71" s="3"/>
      <c r="AC71" s="3"/>
      <c r="AD71" s="3"/>
    </row>
    <row r="72" spans="1:30" ht="17.25" customHeight="1" x14ac:dyDescent="0.25">
      <c r="A72" s="4"/>
      <c r="B72" s="46"/>
      <c r="C72" s="215"/>
      <c r="D72" s="216"/>
      <c r="E72" s="216"/>
      <c r="F72" s="48"/>
      <c r="G72" s="48"/>
      <c r="H72" s="48"/>
      <c r="I72" s="49"/>
      <c r="J72" s="93"/>
      <c r="K72" s="48"/>
      <c r="L72" s="48"/>
      <c r="M72" s="48"/>
      <c r="N72" s="48"/>
      <c r="O72" s="49"/>
      <c r="P72" s="93"/>
      <c r="Q72" s="49"/>
      <c r="R72" s="49"/>
      <c r="S72" s="3"/>
      <c r="T72" s="3"/>
      <c r="U72" s="242" t="s">
        <v>111</v>
      </c>
      <c r="V72" s="243"/>
      <c r="W72" s="243"/>
      <c r="X72" s="243"/>
      <c r="Y72" s="241">
        <v>0</v>
      </c>
      <c r="Z72" s="3"/>
      <c r="AA72" s="3"/>
      <c r="AB72" s="3"/>
      <c r="AC72" s="3"/>
      <c r="AD72" s="3"/>
    </row>
    <row r="73" spans="1:30" ht="17.25" customHeight="1" x14ac:dyDescent="0.25">
      <c r="A73" s="4"/>
      <c r="B73" s="46"/>
      <c r="C73" s="215"/>
      <c r="D73" s="216"/>
      <c r="E73" s="216"/>
      <c r="F73" s="48"/>
      <c r="G73" s="48"/>
      <c r="H73" s="48"/>
      <c r="I73" s="49"/>
      <c r="J73" s="93"/>
      <c r="K73" s="48"/>
      <c r="L73" s="48"/>
      <c r="M73" s="48"/>
      <c r="N73" s="48"/>
      <c r="O73" s="49"/>
      <c r="P73" s="93"/>
      <c r="Q73" s="49"/>
      <c r="R73" s="49"/>
      <c r="S73" s="3"/>
      <c r="T73" s="3"/>
      <c r="U73" s="242" t="s">
        <v>112</v>
      </c>
      <c r="V73" s="243"/>
      <c r="W73" s="243"/>
      <c r="X73" s="243"/>
      <c r="Y73" s="241">
        <v>0</v>
      </c>
      <c r="Z73" s="3"/>
      <c r="AA73" s="3"/>
      <c r="AB73" s="3"/>
      <c r="AC73" s="3"/>
      <c r="AD73" s="3"/>
    </row>
    <row r="74" spans="1:30" ht="17.25" customHeight="1" x14ac:dyDescent="0.25">
      <c r="A74" s="4"/>
      <c r="B74" s="46"/>
      <c r="C74" s="215"/>
      <c r="D74" s="216"/>
      <c r="E74" s="216"/>
      <c r="F74" s="48"/>
      <c r="G74" s="48"/>
      <c r="H74" s="48"/>
      <c r="I74" s="49"/>
      <c r="J74" s="93"/>
      <c r="K74" s="48"/>
      <c r="L74" s="48"/>
      <c r="M74" s="48"/>
      <c r="N74" s="48"/>
      <c r="O74" s="49"/>
      <c r="P74" s="93"/>
      <c r="Q74" s="49"/>
      <c r="R74" s="49"/>
      <c r="S74" s="3"/>
      <c r="T74" s="3"/>
      <c r="U74" s="278" t="s">
        <v>113</v>
      </c>
      <c r="V74" s="279"/>
      <c r="W74" s="279"/>
      <c r="X74" s="280"/>
      <c r="Y74" s="241">
        <v>190572</v>
      </c>
      <c r="Z74" s="3"/>
      <c r="AA74" s="3"/>
      <c r="AB74" s="3"/>
      <c r="AC74" s="3"/>
      <c r="AD74" s="3"/>
    </row>
    <row r="75" spans="1:30" s="3" customFormat="1" x14ac:dyDescent="0.25">
      <c r="A75" s="4"/>
      <c r="B75" s="46"/>
      <c r="C75" s="47"/>
      <c r="D75" s="93"/>
      <c r="E75" s="93"/>
      <c r="F75" s="48"/>
      <c r="G75" s="48"/>
      <c r="H75" s="48"/>
      <c r="I75" s="49"/>
      <c r="J75" s="93"/>
      <c r="K75" s="48"/>
      <c r="L75" s="48"/>
      <c r="M75" s="48"/>
      <c r="N75" s="48"/>
      <c r="O75" s="49"/>
      <c r="P75" s="93"/>
      <c r="Q75" s="49"/>
      <c r="R75" s="49"/>
      <c r="S75" s="49"/>
      <c r="T75" s="49"/>
      <c r="U75" s="49"/>
      <c r="V75" s="93"/>
      <c r="Y75" s="235">
        <v>2870876</v>
      </c>
    </row>
    <row r="76" spans="1:30" x14ac:dyDescent="0.25">
      <c r="A76" s="4"/>
      <c r="B76" s="46"/>
      <c r="C76" s="47"/>
      <c r="D76" s="48"/>
      <c r="E76" s="48"/>
      <c r="F76" s="48"/>
      <c r="G76" s="48"/>
      <c r="H76" s="48"/>
      <c r="I76" s="49"/>
      <c r="J76" s="48"/>
      <c r="K76" s="48"/>
      <c r="L76" s="48"/>
      <c r="M76" s="48"/>
      <c r="N76" s="48"/>
      <c r="O76" s="49"/>
      <c r="P76" s="48"/>
      <c r="Q76" s="48"/>
      <c r="R76" s="48"/>
      <c r="S76" s="49"/>
      <c r="T76" s="49"/>
      <c r="U76" s="49"/>
      <c r="V76" s="48"/>
      <c r="W76" s="48"/>
      <c r="X76" s="48"/>
      <c r="Y76" s="3"/>
      <c r="Z76" s="3"/>
      <c r="AA76" s="3"/>
      <c r="AB76" s="3"/>
      <c r="AC76" s="3"/>
      <c r="AD76" s="3"/>
    </row>
    <row r="77" spans="1:30" x14ac:dyDescent="0.25">
      <c r="A77" s="4"/>
      <c r="B77" s="101" t="s">
        <v>89</v>
      </c>
      <c r="C77" s="100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149"/>
      <c r="W77" s="149"/>
      <c r="X77" s="149"/>
      <c r="Y77" s="149"/>
      <c r="Z77" s="149"/>
      <c r="AA77" s="149"/>
      <c r="AB77" s="150"/>
      <c r="AC77" s="3"/>
      <c r="AD77" s="3"/>
    </row>
    <row r="78" spans="1:30" x14ac:dyDescent="0.25">
      <c r="A78" s="4"/>
      <c r="B78" s="121" t="s">
        <v>119</v>
      </c>
      <c r="C78" s="122"/>
      <c r="D78" s="122"/>
      <c r="E78" s="122"/>
      <c r="F78" s="122"/>
      <c r="G78" s="122"/>
      <c r="H78" s="122"/>
      <c r="I78" s="122" t="s">
        <v>151</v>
      </c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  <c r="AC78" s="3"/>
      <c r="AD78" s="3"/>
    </row>
    <row r="79" spans="1:30" x14ac:dyDescent="0.25">
      <c r="A79" s="4"/>
      <c r="B79" s="218" t="s">
        <v>140</v>
      </c>
      <c r="C79" s="219"/>
      <c r="D79" s="220"/>
      <c r="E79" s="221"/>
      <c r="F79" s="221"/>
      <c r="G79" s="221"/>
      <c r="H79" s="221"/>
      <c r="I79" s="229" t="s">
        <v>150</v>
      </c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122"/>
      <c r="W79" s="122"/>
      <c r="X79" s="122"/>
      <c r="Y79" s="122"/>
      <c r="Z79" s="122"/>
      <c r="AA79" s="122"/>
      <c r="AB79" s="123"/>
      <c r="AC79" s="3"/>
      <c r="AD79" s="3"/>
    </row>
    <row r="80" spans="1:30" x14ac:dyDescent="0.25">
      <c r="A80" s="4"/>
      <c r="B80" s="269" t="s">
        <v>120</v>
      </c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122"/>
      <c r="W80" s="122"/>
      <c r="X80" s="122"/>
      <c r="Y80" s="122"/>
      <c r="Z80" s="122"/>
      <c r="AA80" s="122"/>
      <c r="AB80" s="123"/>
      <c r="AC80" s="3"/>
      <c r="AD80" s="3"/>
    </row>
    <row r="81" spans="1:30" x14ac:dyDescent="0.25">
      <c r="A81" s="4"/>
      <c r="B81" s="269" t="s">
        <v>121</v>
      </c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122"/>
      <c r="W81" s="122"/>
      <c r="X81" s="122"/>
      <c r="Y81" s="122"/>
      <c r="Z81" s="122"/>
      <c r="AA81" s="122"/>
      <c r="AB81" s="123"/>
      <c r="AC81" s="3"/>
      <c r="AD81" s="3"/>
    </row>
    <row r="82" spans="1:30" x14ac:dyDescent="0.25">
      <c r="A82" s="4"/>
      <c r="B82" s="222" t="s">
        <v>141</v>
      </c>
      <c r="C82" s="223"/>
      <c r="D82" s="223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122"/>
      <c r="W82" s="122"/>
      <c r="X82" s="122"/>
      <c r="Y82" s="122"/>
      <c r="Z82" s="122"/>
      <c r="AA82" s="122"/>
      <c r="AB82" s="123"/>
      <c r="AC82" s="3"/>
      <c r="AD82" s="3"/>
    </row>
    <row r="83" spans="1:30" x14ac:dyDescent="0.25">
      <c r="A83" s="4"/>
      <c r="B83" s="225" t="s">
        <v>149</v>
      </c>
      <c r="C83" s="226"/>
      <c r="D83" s="226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122"/>
      <c r="W83" s="122"/>
      <c r="X83" s="122"/>
      <c r="Y83" s="122"/>
      <c r="Z83" s="122"/>
      <c r="AA83" s="122"/>
      <c r="AB83" s="123"/>
      <c r="AC83" s="3"/>
      <c r="AD83" s="3"/>
    </row>
    <row r="84" spans="1:30" x14ac:dyDescent="0.25">
      <c r="A84" s="4"/>
      <c r="B84" s="227" t="s">
        <v>122</v>
      </c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122"/>
      <c r="W84" s="122"/>
      <c r="X84" s="122"/>
      <c r="Y84" s="122"/>
      <c r="Z84" s="122"/>
      <c r="AA84" s="122"/>
      <c r="AB84" s="123"/>
      <c r="AC84" s="3"/>
      <c r="AD84" s="3"/>
    </row>
    <row r="85" spans="1:30" x14ac:dyDescent="0.25">
      <c r="A85" s="4"/>
      <c r="B85" s="227" t="s">
        <v>123</v>
      </c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122"/>
      <c r="W85" s="122"/>
      <c r="X85" s="122"/>
      <c r="Y85" s="122"/>
      <c r="Z85" s="122"/>
      <c r="AA85" s="122"/>
      <c r="AB85" s="123"/>
      <c r="AC85" s="3"/>
      <c r="AD85" s="3"/>
    </row>
    <row r="86" spans="1:30" x14ac:dyDescent="0.25">
      <c r="A86" s="4"/>
      <c r="B86" s="227" t="s">
        <v>124</v>
      </c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122"/>
      <c r="W86" s="122"/>
      <c r="X86" s="122"/>
      <c r="Y86" s="122"/>
      <c r="Z86" s="122"/>
      <c r="AA86" s="122"/>
      <c r="AB86" s="123"/>
      <c r="AC86" s="3"/>
      <c r="AD86" s="3"/>
    </row>
    <row r="87" spans="1:30" x14ac:dyDescent="0.25">
      <c r="A87" s="4"/>
      <c r="B87" s="227" t="s">
        <v>125</v>
      </c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122"/>
      <c r="W87" s="122"/>
      <c r="X87" s="122"/>
      <c r="Y87" s="122"/>
      <c r="Z87" s="122"/>
      <c r="AA87" s="122"/>
      <c r="AB87" s="123"/>
      <c r="AC87" s="3"/>
      <c r="AD87" s="3"/>
    </row>
    <row r="88" spans="1:30" x14ac:dyDescent="0.25">
      <c r="A88" s="4"/>
      <c r="B88" s="227" t="s">
        <v>126</v>
      </c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122"/>
      <c r="W88" s="122"/>
      <c r="X88" s="122"/>
      <c r="Y88" s="122"/>
      <c r="Z88" s="122"/>
      <c r="AA88" s="122"/>
      <c r="AB88" s="123"/>
      <c r="AC88" s="3"/>
      <c r="AD88" s="3"/>
    </row>
    <row r="89" spans="1:30" x14ac:dyDescent="0.25">
      <c r="A89" s="4"/>
      <c r="B89" s="227" t="s">
        <v>127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122"/>
      <c r="W89" s="122"/>
      <c r="X89" s="122"/>
      <c r="Y89" s="122"/>
      <c r="Z89" s="122"/>
      <c r="AA89" s="122"/>
      <c r="AB89" s="123"/>
      <c r="AC89" s="3"/>
      <c r="AD89" s="3"/>
    </row>
    <row r="90" spans="1:30" x14ac:dyDescent="0.25">
      <c r="A90" s="4"/>
      <c r="B90" s="227" t="s">
        <v>128</v>
      </c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122"/>
      <c r="W90" s="122"/>
      <c r="X90" s="122"/>
      <c r="Y90" s="122"/>
      <c r="Z90" s="122"/>
      <c r="AA90" s="122"/>
      <c r="AB90" s="123"/>
      <c r="AC90" s="3"/>
      <c r="AD90" s="3"/>
    </row>
    <row r="91" spans="1:30" x14ac:dyDescent="0.25">
      <c r="A91" s="4"/>
      <c r="B91" s="227" t="s">
        <v>129</v>
      </c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122"/>
      <c r="W91" s="122"/>
      <c r="X91" s="122"/>
      <c r="Y91" s="122"/>
      <c r="Z91" s="122"/>
      <c r="AA91" s="122"/>
      <c r="AB91" s="123"/>
      <c r="AC91" s="3"/>
      <c r="AD91" s="3"/>
    </row>
    <row r="92" spans="1:30" x14ac:dyDescent="0.25">
      <c r="A92" s="4"/>
      <c r="B92" s="227" t="s">
        <v>130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122"/>
      <c r="W92" s="122"/>
      <c r="X92" s="122"/>
      <c r="Y92" s="122"/>
      <c r="Z92" s="122"/>
      <c r="AA92" s="122"/>
      <c r="AB92" s="123"/>
      <c r="AC92" s="3"/>
      <c r="AD92" s="3"/>
    </row>
    <row r="93" spans="1:30" x14ac:dyDescent="0.25">
      <c r="A93" s="4"/>
      <c r="B93" s="227" t="s">
        <v>131</v>
      </c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122"/>
      <c r="W93" s="122"/>
      <c r="X93" s="122"/>
      <c r="Y93" s="122"/>
      <c r="Z93" s="122"/>
      <c r="AA93" s="122"/>
      <c r="AB93" s="123"/>
      <c r="AC93" s="3"/>
      <c r="AD93" s="3"/>
    </row>
    <row r="94" spans="1:30" x14ac:dyDescent="0.25">
      <c r="A94" s="4"/>
      <c r="B94" s="227" t="s">
        <v>132</v>
      </c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122"/>
      <c r="W94" s="122"/>
      <c r="X94" s="122"/>
      <c r="Y94" s="122"/>
      <c r="Z94" s="122"/>
      <c r="AA94" s="122"/>
      <c r="AB94" s="123"/>
      <c r="AC94" s="3"/>
      <c r="AD94" s="3"/>
    </row>
    <row r="95" spans="1:30" x14ac:dyDescent="0.25">
      <c r="A95" s="4"/>
      <c r="B95" s="227" t="s">
        <v>133</v>
      </c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122"/>
      <c r="W95" s="122"/>
      <c r="X95" s="122"/>
      <c r="Y95" s="122"/>
      <c r="Z95" s="122"/>
      <c r="AA95" s="122"/>
      <c r="AB95" s="123"/>
      <c r="AC95" s="3"/>
      <c r="AD95" s="3"/>
    </row>
    <row r="96" spans="1:30" x14ac:dyDescent="0.25">
      <c r="A96" s="4"/>
      <c r="B96" s="227" t="s">
        <v>134</v>
      </c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122"/>
      <c r="W96" s="122"/>
      <c r="X96" s="122"/>
      <c r="Y96" s="122"/>
      <c r="Z96" s="122"/>
      <c r="AA96" s="122"/>
      <c r="AB96" s="123"/>
      <c r="AC96" s="3"/>
      <c r="AD96" s="3"/>
    </row>
    <row r="97" spans="1:30" x14ac:dyDescent="0.25">
      <c r="A97" s="4"/>
      <c r="B97" s="227" t="s">
        <v>135</v>
      </c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122"/>
      <c r="W97" s="122"/>
      <c r="X97" s="122"/>
      <c r="Y97" s="122"/>
      <c r="Z97" s="122"/>
      <c r="AA97" s="122"/>
      <c r="AB97" s="123"/>
      <c r="AC97" s="3"/>
      <c r="AD97" s="3"/>
    </row>
    <row r="98" spans="1:30" x14ac:dyDescent="0.25">
      <c r="A98" s="4"/>
      <c r="B98" s="227" t="s">
        <v>147</v>
      </c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122"/>
      <c r="W98" s="122"/>
      <c r="X98" s="122"/>
      <c r="Y98" s="122"/>
      <c r="Z98" s="122"/>
      <c r="AA98" s="122"/>
      <c r="AB98" s="123"/>
      <c r="AC98" s="3"/>
      <c r="AD98" s="3"/>
    </row>
    <row r="99" spans="1:30" x14ac:dyDescent="0.25">
      <c r="A99" s="4"/>
      <c r="B99" s="227" t="s">
        <v>136</v>
      </c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122"/>
      <c r="W99" s="122"/>
      <c r="X99" s="122"/>
      <c r="Y99" s="122"/>
      <c r="Z99" s="122"/>
      <c r="AA99" s="122"/>
      <c r="AB99" s="123"/>
      <c r="AC99" s="3"/>
      <c r="AD99" s="3"/>
    </row>
    <row r="100" spans="1:30" x14ac:dyDescent="0.25">
      <c r="A100" s="4"/>
      <c r="B100" s="227" t="s">
        <v>137</v>
      </c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122"/>
      <c r="W100" s="122"/>
      <c r="X100" s="122"/>
      <c r="Y100" s="122"/>
      <c r="Z100" s="122"/>
      <c r="AA100" s="122"/>
      <c r="AB100" s="123"/>
      <c r="AC100" s="3"/>
      <c r="AD100" s="3"/>
    </row>
    <row r="101" spans="1:30" x14ac:dyDescent="0.25">
      <c r="A101" s="4"/>
      <c r="B101" s="222" t="s">
        <v>148</v>
      </c>
      <c r="C101" s="223"/>
      <c r="D101" s="223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122"/>
      <c r="W101" s="122"/>
      <c r="X101" s="122"/>
      <c r="Y101" s="122"/>
      <c r="Z101" s="122"/>
      <c r="AA101" s="122"/>
      <c r="AB101" s="123"/>
      <c r="AC101" s="3"/>
      <c r="AD101" s="3"/>
    </row>
    <row r="102" spans="1:30" x14ac:dyDescent="0.25">
      <c r="A102" s="4"/>
      <c r="B102" s="227" t="s">
        <v>138</v>
      </c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122"/>
      <c r="W102" s="122"/>
      <c r="X102" s="122"/>
      <c r="Y102" s="122"/>
      <c r="Z102" s="122"/>
      <c r="AA102" s="122"/>
      <c r="AB102" s="123"/>
      <c r="AC102" s="3"/>
      <c r="AD102" s="3"/>
    </row>
    <row r="103" spans="1:30" x14ac:dyDescent="0.25">
      <c r="A103" s="4"/>
      <c r="B103" s="222" t="s">
        <v>144</v>
      </c>
      <c r="C103" s="223"/>
      <c r="D103" s="223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122"/>
      <c r="W103" s="122"/>
      <c r="X103" s="122"/>
      <c r="Y103" s="122"/>
      <c r="Z103" s="122"/>
      <c r="AA103" s="122"/>
      <c r="AB103" s="123"/>
      <c r="AC103" s="3"/>
      <c r="AD103" s="3"/>
    </row>
    <row r="104" spans="1:30" x14ac:dyDescent="0.25">
      <c r="A104" s="4"/>
      <c r="B104" s="225" t="s">
        <v>143</v>
      </c>
      <c r="C104" s="226"/>
      <c r="D104" s="226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122"/>
      <c r="W104" s="122"/>
      <c r="X104" s="122"/>
      <c r="Y104" s="122"/>
      <c r="Z104" s="122"/>
      <c r="AA104" s="122"/>
      <c r="AB104" s="123"/>
      <c r="AC104" s="3"/>
      <c r="AD104" s="3"/>
    </row>
    <row r="105" spans="1:30" x14ac:dyDescent="0.25">
      <c r="A105" s="4"/>
      <c r="B105" s="225" t="s">
        <v>142</v>
      </c>
      <c r="C105" s="226"/>
      <c r="D105" s="226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122"/>
      <c r="W105" s="122"/>
      <c r="X105" s="122"/>
      <c r="Y105" s="122"/>
      <c r="Z105" s="122"/>
      <c r="AA105" s="122"/>
      <c r="AB105" s="123"/>
      <c r="AC105" s="3"/>
      <c r="AD105" s="3"/>
    </row>
    <row r="106" spans="1:30" x14ac:dyDescent="0.25">
      <c r="A106" s="4"/>
      <c r="B106" s="225" t="s">
        <v>145</v>
      </c>
      <c r="C106" s="226"/>
      <c r="D106" s="226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122"/>
      <c r="W106" s="122"/>
      <c r="X106" s="122"/>
      <c r="Y106" s="122"/>
      <c r="Z106" s="122"/>
      <c r="AA106" s="122"/>
      <c r="AB106" s="123"/>
      <c r="AC106" s="3"/>
      <c r="AD106" s="3"/>
    </row>
    <row r="107" spans="1:30" x14ac:dyDescent="0.25">
      <c r="A107" s="4"/>
      <c r="B107" s="225" t="s">
        <v>139</v>
      </c>
      <c r="C107" s="226"/>
      <c r="D107" s="226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122"/>
      <c r="W107" s="122"/>
      <c r="X107" s="122"/>
      <c r="Y107" s="122"/>
      <c r="Z107" s="122"/>
      <c r="AA107" s="122"/>
      <c r="AB107" s="123"/>
      <c r="AC107" s="3"/>
      <c r="AD107" s="3"/>
    </row>
    <row r="108" spans="1:30" x14ac:dyDescent="0.25">
      <c r="A108" s="4"/>
      <c r="B108" s="154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22"/>
      <c r="W108" s="122"/>
      <c r="X108" s="122"/>
      <c r="Y108" s="122"/>
      <c r="Z108" s="122"/>
      <c r="AA108" s="122"/>
      <c r="AB108" s="123"/>
      <c r="AC108" s="3"/>
      <c r="AD108" s="3"/>
    </row>
    <row r="109" spans="1:30" x14ac:dyDescent="0.25">
      <c r="A109" s="4"/>
      <c r="B109" s="132" t="s">
        <v>146</v>
      </c>
      <c r="C109" s="133"/>
      <c r="D109" s="134"/>
      <c r="E109" s="134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51"/>
      <c r="W109" s="151"/>
      <c r="X109" s="151"/>
      <c r="Y109" s="151"/>
      <c r="Z109" s="151"/>
      <c r="AA109" s="151"/>
      <c r="AB109" s="152"/>
      <c r="AC109" s="3"/>
      <c r="AD109" s="3"/>
    </row>
    <row r="110" spans="1:30" x14ac:dyDescent="0.25">
      <c r="A110" s="88"/>
      <c r="B110" s="136"/>
      <c r="C110" s="135"/>
      <c r="D110" s="136"/>
      <c r="E110" s="136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x14ac:dyDescent="0.25">
      <c r="A111" s="88"/>
      <c r="B111" s="136"/>
      <c r="C111" s="135"/>
      <c r="D111" s="136"/>
      <c r="E111" s="136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x14ac:dyDescent="0.25">
      <c r="A112" s="4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x14ac:dyDescent="0.25">
      <c r="A113" s="4"/>
      <c r="B113" s="52" t="s">
        <v>78</v>
      </c>
      <c r="C113" s="120"/>
      <c r="D113" s="52" t="s">
        <v>75</v>
      </c>
      <c r="E113" s="267"/>
      <c r="F113" s="267"/>
      <c r="G113" s="267"/>
      <c r="H113" s="52"/>
      <c r="I113" s="52" t="s">
        <v>76</v>
      </c>
      <c r="J113" s="268"/>
      <c r="K113" s="268"/>
      <c r="L113" s="268"/>
      <c r="M113" s="268"/>
      <c r="N113" s="52"/>
      <c r="O113" s="52"/>
      <c r="P113" s="52"/>
      <c r="Q113" s="52"/>
      <c r="R113" s="52"/>
      <c r="S113" s="52"/>
      <c r="T113" s="52"/>
      <c r="U113" s="52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7.5" customHeight="1" x14ac:dyDescent="0.25">
      <c r="A114" s="4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x14ac:dyDescent="0.25">
      <c r="A115" s="4"/>
      <c r="B115" s="52"/>
      <c r="C115" s="52"/>
      <c r="D115" s="52" t="s">
        <v>77</v>
      </c>
      <c r="E115" s="54"/>
      <c r="F115" s="54"/>
      <c r="G115" s="54"/>
      <c r="H115" s="52"/>
      <c r="I115" s="52" t="s">
        <v>77</v>
      </c>
      <c r="J115" s="53"/>
      <c r="K115" s="53"/>
      <c r="L115" s="53"/>
      <c r="M115" s="53"/>
      <c r="N115" s="52"/>
      <c r="O115" s="52"/>
      <c r="P115" s="52"/>
      <c r="Q115" s="52"/>
      <c r="R115" s="52"/>
      <c r="S115" s="52"/>
      <c r="T115" s="52"/>
      <c r="U115" s="52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x14ac:dyDescent="0.25">
      <c r="A116" s="4"/>
      <c r="B116" s="52"/>
      <c r="C116" s="52"/>
      <c r="D116" s="52"/>
      <c r="E116" s="54"/>
      <c r="F116" s="54"/>
      <c r="G116" s="54"/>
      <c r="H116" s="52"/>
      <c r="I116" s="52"/>
      <c r="J116" s="53"/>
      <c r="K116" s="53"/>
      <c r="L116" s="53"/>
      <c r="M116" s="53"/>
      <c r="N116" s="52"/>
      <c r="O116" s="52"/>
      <c r="P116" s="52"/>
      <c r="Q116" s="52"/>
      <c r="R116" s="52"/>
      <c r="S116" s="52"/>
      <c r="T116" s="52"/>
      <c r="U116" s="52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x14ac:dyDescent="0.25">
      <c r="A117" s="4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x14ac:dyDescent="0.25">
      <c r="A118" s="4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idden="1" x14ac:dyDescent="0.25">
      <c r="AC119" s="2"/>
      <c r="AD119" s="2"/>
    </row>
    <row r="120" spans="1:30" hidden="1" x14ac:dyDescent="0.25"/>
    <row r="121" spans="1:30" hidden="1" x14ac:dyDescent="0.25"/>
    <row r="122" spans="1:30" hidden="1" x14ac:dyDescent="0.25"/>
    <row r="123" spans="1:30" hidden="1" x14ac:dyDescent="0.25"/>
    <row r="124" spans="1:30" hidden="1" x14ac:dyDescent="0.25"/>
    <row r="125" spans="1:30" hidden="1" x14ac:dyDescent="0.25"/>
    <row r="126" spans="1:30" hidden="1" x14ac:dyDescent="0.25"/>
    <row r="127" spans="1:30" hidden="1" x14ac:dyDescent="0.25"/>
    <row r="128" spans="1:30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t="15" hidden="1" customHeight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t="15" hidden="1" customHeight="1" x14ac:dyDescent="0.25"/>
    <row r="150" ht="15" hidden="1" customHeight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</sheetData>
  <mergeCells count="73">
    <mergeCell ref="AB26:AB28"/>
    <mergeCell ref="V63:X63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AA27:AA28"/>
    <mergeCell ref="Y27:Y28"/>
    <mergeCell ref="Z27:Z28"/>
    <mergeCell ref="V26:AA26"/>
    <mergeCell ref="V58:X58"/>
    <mergeCell ref="V57:X57"/>
    <mergeCell ref="I13:I14"/>
    <mergeCell ref="J27:L27"/>
    <mergeCell ref="M27:M28"/>
    <mergeCell ref="N27:N28"/>
    <mergeCell ref="O27:O28"/>
    <mergeCell ref="D26:I26"/>
    <mergeCell ref="D27:F27"/>
    <mergeCell ref="G27:G28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P26:U26"/>
    <mergeCell ref="J26:O26"/>
    <mergeCell ref="E113:G113"/>
    <mergeCell ref="J113:M113"/>
    <mergeCell ref="B81:U81"/>
    <mergeCell ref="S27:S28"/>
    <mergeCell ref="T27:T28"/>
    <mergeCell ref="B80:U80"/>
    <mergeCell ref="D77:U77"/>
    <mergeCell ref="P27:R27"/>
    <mergeCell ref="U66:X66"/>
    <mergeCell ref="U67:X67"/>
    <mergeCell ref="U68:X68"/>
    <mergeCell ref="U69:X69"/>
    <mergeCell ref="U70:X70"/>
    <mergeCell ref="U74:X74"/>
    <mergeCell ref="V27:X27"/>
    <mergeCell ref="V59:X59"/>
    <mergeCell ref="B10:B13"/>
    <mergeCell ref="P10:U10"/>
    <mergeCell ref="P11:S11"/>
    <mergeCell ref="B27:B28"/>
    <mergeCell ref="J10:O10"/>
    <mergeCell ref="J11:M11"/>
    <mergeCell ref="J12:O12"/>
    <mergeCell ref="J13:L13"/>
    <mergeCell ref="M13:M14"/>
    <mergeCell ref="N13:N14"/>
    <mergeCell ref="G13:G14"/>
    <mergeCell ref="H13:H14"/>
    <mergeCell ref="O13:O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2025-08-06T07:14:29Z</cp:lastPrinted>
  <dcterms:created xsi:type="dcterms:W3CDTF">2017-02-23T12:10:09Z</dcterms:created>
  <dcterms:modified xsi:type="dcterms:W3CDTF">2025-10-16T12:37:42Z</dcterms:modified>
</cp:coreProperties>
</file>