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SVR 2027-2028 - ŠKOLY a PO + NR 2026\NR 2026 - ŠKOLY a PO\"/>
    </mc:Choice>
  </mc:AlternateContent>
  <bookViews>
    <workbookView xWindow="0" yWindow="0" windowWidth="47925" windowHeight="17280" tabRatio="980"/>
  </bookViews>
  <sheets>
    <sheet name="CHK NR 2026" sheetId="2" r:id="rId1"/>
    <sheet name="MěLesy NR 2026" sheetId="3" r:id="rId2"/>
    <sheet name="MŠ Chomutov-NR 2026" sheetId="4" r:id="rId3"/>
    <sheet name="SoS Chomutov - NR 2026" sheetId="5" r:id="rId4"/>
    <sheet name="SVČ Domeček-NR 2026" sheetId="6" r:id="rId5"/>
    <sheet name="TSMCH  NR 2026" sheetId="7" r:id="rId6"/>
    <sheet name="Zoopark Chomutov NR 2026" sheetId="8" r:id="rId7"/>
    <sheet name="ZUŠ-NR 2026" sheetId="9" r:id="rId8"/>
    <sheet name="ZŠ a MŠ 17. listopadu NR-2026" sheetId="10" r:id="rId9"/>
    <sheet name="ZŠ a MŠ Palachova-NR 2026" sheetId="11" r:id="rId10"/>
    <sheet name="ZŠ A. Heyrovského-NR 2026" sheetId="12" r:id="rId11"/>
    <sheet name="ZŠ Březenecká-NR 2026" sheetId="13" r:id="rId12"/>
    <sheet name="ZŠ Hornická-NR 2026" sheetId="14" r:id="rId13"/>
    <sheet name="ZŠ Kadaňská-NR 2026" sheetId="15" r:id="rId14"/>
    <sheet name="ZŠ Na Příkopech-NR 2026" sheetId="16" r:id="rId15"/>
    <sheet name="ZŠ Písečná-NR 2026" sheetId="17" r:id="rId16"/>
    <sheet name="ZŠ Zahradní-NR 2026" sheetId="18" r:id="rId17"/>
    <sheet name="ZŠ Školní-NR 2026" sheetId="19" r:id="rId18"/>
  </sheets>
  <externalReferences>
    <externalReference r:id="rId19"/>
    <externalReference r:id="rId20"/>
    <externalReference r:id="rId21"/>
    <externalReference r:id="rId22"/>
  </externalReferences>
  <definedNames>
    <definedName name="_xlnm.Print_Area" localSheetId="0">'CHK NR 2026'!$A$1:$AC$96</definedName>
    <definedName name="_xlnm.Print_Area" localSheetId="1">'MěLesy NR 2026'!$A$1:$AC$99</definedName>
    <definedName name="_xlnm.Print_Area" localSheetId="2">'MŠ Chomutov-NR 2026'!$A$1:$AC$101</definedName>
    <definedName name="_xlnm.Print_Area" localSheetId="3">'SoS Chomutov - NR 2026'!$A$1:$AC$96</definedName>
    <definedName name="_xlnm.Print_Area" localSheetId="4">'SVČ Domeček-NR 2026'!$A$1:$AC$118</definedName>
    <definedName name="_xlnm.Print_Area" localSheetId="5">'TSMCH  NR 2026'!$A$1:$AC$86</definedName>
    <definedName name="_xlnm.Print_Area" localSheetId="8">'ZŠ a MŠ 17. listopadu NR-2026'!$A$1:$AC$104</definedName>
    <definedName name="_xlnm.Print_Area" localSheetId="9">'ZŠ a MŠ Palachova-NR 2026'!$A$1:$AC$101</definedName>
    <definedName name="_xlnm.Print_Area" localSheetId="10">'ZŠ A. Heyrovského-NR 2026'!$A$1:$AC$93</definedName>
    <definedName name="_xlnm.Print_Area" localSheetId="11">'ZŠ Březenecká-NR 2026'!$A$1:$AC$95</definedName>
    <definedName name="_xlnm.Print_Area" localSheetId="12">'ZŠ Hornická-NR 2026'!$A$1:$AC$101</definedName>
    <definedName name="_xlnm.Print_Area" localSheetId="13">'ZŠ Kadaňská-NR 2026'!$A$1:$AC$101</definedName>
    <definedName name="_xlnm.Print_Area" localSheetId="14">'ZŠ Na Příkopech-NR 2026'!$A$1:$AC$101</definedName>
    <definedName name="_xlnm.Print_Area" localSheetId="15">'ZŠ Písečná-NR 2026'!$A$1:$AC$106</definedName>
    <definedName name="_xlnm.Print_Area" localSheetId="17">'ZŠ Školní-NR 2026'!$A$1:$AC$106</definedName>
    <definedName name="_xlnm.Print_Area" localSheetId="16">'ZŠ Zahradní-NR 2026'!$A:$AC</definedName>
    <definedName name="_xlnm.Print_Area" localSheetId="7">'ZUŠ-NR 2026'!$A$1:$AC$103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3" i="19" l="1"/>
  <c r="Y78" i="19" s="1"/>
  <c r="Y66" i="19"/>
  <c r="Y57" i="19"/>
  <c r="S57" i="19"/>
  <c r="M57" i="19"/>
  <c r="G57" i="19"/>
  <c r="Y56" i="19"/>
  <c r="S56" i="19"/>
  <c r="M56" i="19"/>
  <c r="G56" i="19"/>
  <c r="Y55" i="19"/>
  <c r="S55" i="19"/>
  <c r="M55" i="19"/>
  <c r="G55" i="19"/>
  <c r="Y54" i="19"/>
  <c r="S54" i="19"/>
  <c r="M54" i="19"/>
  <c r="Y53" i="19"/>
  <c r="S53" i="19"/>
  <c r="M53" i="19"/>
  <c r="Y52" i="19"/>
  <c r="S52" i="19"/>
  <c r="M52" i="19"/>
  <c r="G52" i="19"/>
  <c r="Y51" i="19"/>
  <c r="X51" i="19"/>
  <c r="W51" i="19"/>
  <c r="V51" i="19"/>
  <c r="S51" i="19"/>
  <c r="R51" i="19"/>
  <c r="Q51" i="19"/>
  <c r="P51" i="19"/>
  <c r="M51" i="19"/>
  <c r="L51" i="19"/>
  <c r="K51" i="19"/>
  <c r="J51" i="19"/>
  <c r="G51" i="19"/>
  <c r="F51" i="19"/>
  <c r="E51" i="19"/>
  <c r="D51" i="19"/>
  <c r="Q41" i="19"/>
  <c r="E41" i="19"/>
  <c r="Z40" i="19"/>
  <c r="X40" i="19"/>
  <c r="W40" i="19"/>
  <c r="V40" i="19"/>
  <c r="Y40" i="19" s="1"/>
  <c r="T40" i="19"/>
  <c r="R40" i="19"/>
  <c r="Q40" i="19"/>
  <c r="P40" i="19"/>
  <c r="S40" i="19" s="1"/>
  <c r="N40" i="19"/>
  <c r="L40" i="19"/>
  <c r="K40" i="19"/>
  <c r="J40" i="19"/>
  <c r="M40" i="19" s="1"/>
  <c r="H40" i="19"/>
  <c r="F40" i="19"/>
  <c r="E40" i="19"/>
  <c r="D40" i="19"/>
  <c r="G40" i="19" s="1"/>
  <c r="AA39" i="19"/>
  <c r="AB39" i="19" s="1"/>
  <c r="Y39" i="19"/>
  <c r="U39" i="19"/>
  <c r="S39" i="19"/>
  <c r="O39" i="19"/>
  <c r="M39" i="19"/>
  <c r="I39" i="19"/>
  <c r="G39" i="19"/>
  <c r="Y38" i="19"/>
  <c r="AA38" i="19" s="1"/>
  <c r="S38" i="19"/>
  <c r="U38" i="19" s="1"/>
  <c r="M38" i="19"/>
  <c r="O38" i="19" s="1"/>
  <c r="G38" i="19"/>
  <c r="I38" i="19" s="1"/>
  <c r="AA37" i="19"/>
  <c r="AB37" i="19" s="1"/>
  <c r="Y37" i="19"/>
  <c r="U37" i="19"/>
  <c r="S37" i="19"/>
  <c r="O37" i="19"/>
  <c r="M37" i="19"/>
  <c r="I37" i="19"/>
  <c r="G37" i="19"/>
  <c r="Y36" i="19"/>
  <c r="AA36" i="19" s="1"/>
  <c r="S36" i="19"/>
  <c r="U36" i="19" s="1"/>
  <c r="M36" i="19"/>
  <c r="O36" i="19" s="1"/>
  <c r="G36" i="19"/>
  <c r="I36" i="19" s="1"/>
  <c r="AA35" i="19"/>
  <c r="AB35" i="19" s="1"/>
  <c r="Y35" i="19"/>
  <c r="U35" i="19"/>
  <c r="S35" i="19"/>
  <c r="O35" i="19"/>
  <c r="M35" i="19"/>
  <c r="I35" i="19"/>
  <c r="G35" i="19"/>
  <c r="Y34" i="19"/>
  <c r="AA34" i="19" s="1"/>
  <c r="S34" i="19"/>
  <c r="U34" i="19" s="1"/>
  <c r="M34" i="19"/>
  <c r="O34" i="19" s="1"/>
  <c r="G34" i="19"/>
  <c r="I34" i="19" s="1"/>
  <c r="AA33" i="19"/>
  <c r="AB33" i="19" s="1"/>
  <c r="Y33" i="19"/>
  <c r="U33" i="19"/>
  <c r="S33" i="19"/>
  <c r="O33" i="19"/>
  <c r="M33" i="19"/>
  <c r="I33" i="19"/>
  <c r="G33" i="19"/>
  <c r="Y32" i="19"/>
  <c r="AA32" i="19" s="1"/>
  <c r="S32" i="19"/>
  <c r="U32" i="19" s="1"/>
  <c r="M32" i="19"/>
  <c r="O32" i="19" s="1"/>
  <c r="G32" i="19"/>
  <c r="I32" i="19" s="1"/>
  <c r="AA31" i="19"/>
  <c r="AB31" i="19" s="1"/>
  <c r="Y31" i="19"/>
  <c r="U31" i="19"/>
  <c r="S31" i="19"/>
  <c r="O31" i="19"/>
  <c r="M31" i="19"/>
  <c r="I31" i="19"/>
  <c r="G31" i="19"/>
  <c r="Y30" i="19"/>
  <c r="AA30" i="19" s="1"/>
  <c r="S30" i="19"/>
  <c r="U30" i="19" s="1"/>
  <c r="M30" i="19"/>
  <c r="O30" i="19" s="1"/>
  <c r="G30" i="19"/>
  <c r="I30" i="19" s="1"/>
  <c r="AA29" i="19"/>
  <c r="AB29" i="19" s="1"/>
  <c r="Y29" i="19"/>
  <c r="U29" i="19"/>
  <c r="S29" i="19"/>
  <c r="O29" i="19"/>
  <c r="M29" i="19"/>
  <c r="I29" i="19"/>
  <c r="G29" i="19"/>
  <c r="Z25" i="19"/>
  <c r="Z41" i="19" s="1"/>
  <c r="X25" i="19"/>
  <c r="X41" i="19" s="1"/>
  <c r="W25" i="19"/>
  <c r="W41" i="19" s="1"/>
  <c r="V25" i="19"/>
  <c r="V41" i="19" s="1"/>
  <c r="T25" i="19"/>
  <c r="T41" i="19" s="1"/>
  <c r="R25" i="19"/>
  <c r="R41" i="19" s="1"/>
  <c r="Q25" i="19"/>
  <c r="P25" i="19"/>
  <c r="S25" i="19" s="1"/>
  <c r="S41" i="19" s="1"/>
  <c r="N25" i="19"/>
  <c r="N41" i="19" s="1"/>
  <c r="L25" i="19"/>
  <c r="L41" i="19" s="1"/>
  <c r="K25" i="19"/>
  <c r="K41" i="19" s="1"/>
  <c r="J25" i="19"/>
  <c r="J41" i="19" s="1"/>
  <c r="H25" i="19"/>
  <c r="H41" i="19" s="1"/>
  <c r="F25" i="19"/>
  <c r="F41" i="19" s="1"/>
  <c r="E25" i="19"/>
  <c r="D25" i="19"/>
  <c r="G25" i="19" s="1"/>
  <c r="G41" i="19" s="1"/>
  <c r="AA24" i="19"/>
  <c r="AB24" i="19" s="1"/>
  <c r="Y24" i="19"/>
  <c r="U24" i="19"/>
  <c r="S24" i="19"/>
  <c r="O24" i="19"/>
  <c r="M24" i="19"/>
  <c r="I24" i="19"/>
  <c r="G24" i="19"/>
  <c r="Y23" i="19"/>
  <c r="AA23" i="19" s="1"/>
  <c r="S23" i="19"/>
  <c r="U23" i="19" s="1"/>
  <c r="M23" i="19"/>
  <c r="O23" i="19" s="1"/>
  <c r="G23" i="19"/>
  <c r="I23" i="19" s="1"/>
  <c r="AA22" i="19"/>
  <c r="AB22" i="19" s="1"/>
  <c r="Y22" i="19"/>
  <c r="U22" i="19"/>
  <c r="S22" i="19"/>
  <c r="O22" i="19"/>
  <c r="M22" i="19"/>
  <c r="I22" i="19"/>
  <c r="G22" i="19"/>
  <c r="Y21" i="19"/>
  <c r="AA21" i="19" s="1"/>
  <c r="S21" i="19"/>
  <c r="U21" i="19" s="1"/>
  <c r="M21" i="19"/>
  <c r="O21" i="19" s="1"/>
  <c r="G21" i="19"/>
  <c r="I21" i="19" s="1"/>
  <c r="AA20" i="19"/>
  <c r="AB20" i="19" s="1"/>
  <c r="Y20" i="19"/>
  <c r="U20" i="19"/>
  <c r="S20" i="19"/>
  <c r="O20" i="19"/>
  <c r="M20" i="19"/>
  <c r="I20" i="19"/>
  <c r="G20" i="19"/>
  <c r="Y19" i="19"/>
  <c r="AA19" i="19" s="1"/>
  <c r="S19" i="19"/>
  <c r="U19" i="19" s="1"/>
  <c r="M19" i="19"/>
  <c r="O19" i="19" s="1"/>
  <c r="G19" i="19"/>
  <c r="I19" i="19" s="1"/>
  <c r="Y18" i="19"/>
  <c r="AA18" i="19" s="1"/>
  <c r="S18" i="19"/>
  <c r="U18" i="19" s="1"/>
  <c r="M18" i="19"/>
  <c r="O18" i="19" s="1"/>
  <c r="G18" i="19"/>
  <c r="I18" i="19" s="1"/>
  <c r="AA17" i="19"/>
  <c r="AB17" i="19" s="1"/>
  <c r="Y17" i="19"/>
  <c r="U17" i="19"/>
  <c r="S17" i="19"/>
  <c r="O17" i="19"/>
  <c r="M17" i="19"/>
  <c r="I17" i="19"/>
  <c r="G17" i="19"/>
  <c r="Y16" i="19"/>
  <c r="AA16" i="19" s="1"/>
  <c r="S16" i="19"/>
  <c r="U16" i="19" s="1"/>
  <c r="M16" i="19"/>
  <c r="O16" i="19" s="1"/>
  <c r="G16" i="19"/>
  <c r="I16" i="19" s="1"/>
  <c r="AA15" i="19"/>
  <c r="AA25" i="19" s="1"/>
  <c r="Y15" i="19"/>
  <c r="U15" i="19"/>
  <c r="U25" i="19" s="1"/>
  <c r="S15" i="19"/>
  <c r="O15" i="19"/>
  <c r="M15" i="19"/>
  <c r="I15" i="19"/>
  <c r="I25" i="19" s="1"/>
  <c r="G15" i="19"/>
  <c r="O40" i="19" l="1"/>
  <c r="U40" i="19"/>
  <c r="U41" i="19" s="1"/>
  <c r="U42" i="19" s="1"/>
  <c r="O25" i="19"/>
  <c r="AB25" i="19"/>
  <c r="AB16" i="19"/>
  <c r="AB19" i="19"/>
  <c r="AB21" i="19"/>
  <c r="AB23" i="19"/>
  <c r="AB30" i="19"/>
  <c r="AB32" i="19"/>
  <c r="AB34" i="19"/>
  <c r="AA40" i="19"/>
  <c r="AB40" i="19" s="1"/>
  <c r="AB36" i="19"/>
  <c r="AB38" i="19"/>
  <c r="I40" i="19"/>
  <c r="I41" i="19" s="1"/>
  <c r="I42" i="19" s="1"/>
  <c r="M25" i="19"/>
  <c r="M41" i="19" s="1"/>
  <c r="Y25" i="19"/>
  <c r="Y41" i="19" s="1"/>
  <c r="D41" i="19"/>
  <c r="P41" i="19"/>
  <c r="AB15" i="19"/>
  <c r="AA41" i="19" l="1"/>
  <c r="O41" i="19"/>
  <c r="O42" i="19" s="1"/>
  <c r="AA42" i="19" l="1"/>
  <c r="AB42" i="19" s="1"/>
  <c r="AB41" i="19"/>
  <c r="Y72" i="18" l="1"/>
  <c r="Y68" i="18"/>
  <c r="Y77" i="18" s="1"/>
  <c r="Y65" i="18"/>
  <c r="Y62" i="18"/>
  <c r="Y56" i="18"/>
  <c r="S56" i="18"/>
  <c r="G56" i="18"/>
  <c r="J56" i="18" s="1"/>
  <c r="M56" i="18" s="1"/>
  <c r="F56" i="18"/>
  <c r="Y55" i="18"/>
  <c r="S55" i="18"/>
  <c r="G55" i="18"/>
  <c r="J55" i="18" s="1"/>
  <c r="M55" i="18" s="1"/>
  <c r="X54" i="18"/>
  <c r="Y54" i="18" s="1"/>
  <c r="S54" i="18"/>
  <c r="G54" i="18"/>
  <c r="J54" i="18" s="1"/>
  <c r="M54" i="18" s="1"/>
  <c r="V53" i="18"/>
  <c r="Y53" i="18" s="1"/>
  <c r="S53" i="18"/>
  <c r="G53" i="18"/>
  <c r="J53" i="18" s="1"/>
  <c r="M53" i="18" s="1"/>
  <c r="Y52" i="18"/>
  <c r="S52" i="18"/>
  <c r="J52" i="18"/>
  <c r="M52" i="18" s="1"/>
  <c r="G52" i="18"/>
  <c r="Y51" i="18"/>
  <c r="S51" i="18"/>
  <c r="M51" i="18"/>
  <c r="G51" i="18"/>
  <c r="J45" i="18"/>
  <c r="X41" i="18"/>
  <c r="T41" i="18"/>
  <c r="L41" i="18"/>
  <c r="H41" i="18"/>
  <c r="Z40" i="18"/>
  <c r="X40" i="18"/>
  <c r="T40" i="18"/>
  <c r="R40" i="18"/>
  <c r="Q40" i="18"/>
  <c r="N40" i="18"/>
  <c r="L40" i="18"/>
  <c r="K40" i="18"/>
  <c r="H40" i="18"/>
  <c r="F40" i="18"/>
  <c r="Y39" i="18"/>
  <c r="AA39" i="18" s="1"/>
  <c r="V39" i="18"/>
  <c r="V40" i="18" s="1"/>
  <c r="U39" i="18"/>
  <c r="S39" i="18"/>
  <c r="J39" i="18"/>
  <c r="M39" i="18" s="1"/>
  <c r="O39" i="18" s="1"/>
  <c r="G39" i="18"/>
  <c r="I39" i="18" s="1"/>
  <c r="D39" i="18"/>
  <c r="D40" i="18" s="1"/>
  <c r="Y38" i="18"/>
  <c r="AA38" i="18" s="1"/>
  <c r="AB38" i="18" s="1"/>
  <c r="S38" i="18"/>
  <c r="U38" i="18" s="1"/>
  <c r="M38" i="18"/>
  <c r="O38" i="18" s="1"/>
  <c r="G38" i="18"/>
  <c r="I38" i="18" s="1"/>
  <c r="AA37" i="18"/>
  <c r="AB37" i="18" s="1"/>
  <c r="Y37" i="18"/>
  <c r="U37" i="18"/>
  <c r="S37" i="18"/>
  <c r="O37" i="18"/>
  <c r="M37" i="18"/>
  <c r="I37" i="18"/>
  <c r="G37" i="18"/>
  <c r="Y36" i="18"/>
  <c r="AA36" i="18" s="1"/>
  <c r="S36" i="18"/>
  <c r="U36" i="18" s="1"/>
  <c r="M36" i="18"/>
  <c r="O36" i="18" s="1"/>
  <c r="G36" i="18"/>
  <c r="I36" i="18" s="1"/>
  <c r="AA35" i="18"/>
  <c r="AB35" i="18" s="1"/>
  <c r="Y35" i="18"/>
  <c r="U35" i="18"/>
  <c r="S35" i="18"/>
  <c r="O35" i="18"/>
  <c r="M35" i="18"/>
  <c r="I35" i="18"/>
  <c r="G35" i="18"/>
  <c r="Y34" i="18"/>
  <c r="AA34" i="18" s="1"/>
  <c r="AB34" i="18" s="1"/>
  <c r="S34" i="18"/>
  <c r="U34" i="18" s="1"/>
  <c r="M34" i="18"/>
  <c r="O34" i="18" s="1"/>
  <c r="G34" i="18"/>
  <c r="I34" i="18" s="1"/>
  <c r="W33" i="18"/>
  <c r="Y33" i="18" s="1"/>
  <c r="AA33" i="18" s="1"/>
  <c r="AB33" i="18" s="1"/>
  <c r="V33" i="18"/>
  <c r="Q33" i="18"/>
  <c r="S33" i="18" s="1"/>
  <c r="U33" i="18" s="1"/>
  <c r="P33" i="18"/>
  <c r="P40" i="18" s="1"/>
  <c r="O33" i="18"/>
  <c r="M33" i="18"/>
  <c r="E33" i="18"/>
  <c r="E40" i="18" s="1"/>
  <c r="D33" i="18"/>
  <c r="G33" i="18" s="1"/>
  <c r="I33" i="18" s="1"/>
  <c r="Y32" i="18"/>
  <c r="AA32" i="18" s="1"/>
  <c r="V32" i="18"/>
  <c r="U32" i="18"/>
  <c r="S32" i="18"/>
  <c r="J32" i="18"/>
  <c r="M32" i="18" s="1"/>
  <c r="O32" i="18" s="1"/>
  <c r="G32" i="18"/>
  <c r="I32" i="18" s="1"/>
  <c r="AA31" i="18"/>
  <c r="AB31" i="18" s="1"/>
  <c r="Y31" i="18"/>
  <c r="U31" i="18"/>
  <c r="S31" i="18"/>
  <c r="O31" i="18"/>
  <c r="M31" i="18"/>
  <c r="I31" i="18"/>
  <c r="G31" i="18"/>
  <c r="Y30" i="18"/>
  <c r="AA30" i="18" s="1"/>
  <c r="V30" i="18"/>
  <c r="U30" i="18"/>
  <c r="S30" i="18"/>
  <c r="J30" i="18"/>
  <c r="M30" i="18" s="1"/>
  <c r="O30" i="18" s="1"/>
  <c r="G30" i="18"/>
  <c r="I30" i="18" s="1"/>
  <c r="AA29" i="18"/>
  <c r="AB29" i="18" s="1"/>
  <c r="Y29" i="18"/>
  <c r="U29" i="18"/>
  <c r="S29" i="18"/>
  <c r="O29" i="18"/>
  <c r="M29" i="18"/>
  <c r="I29" i="18"/>
  <c r="G29" i="18"/>
  <c r="Z25" i="18"/>
  <c r="Z41" i="18" s="1"/>
  <c r="X25" i="18"/>
  <c r="W25" i="18"/>
  <c r="T25" i="18"/>
  <c r="R25" i="18"/>
  <c r="R41" i="18" s="1"/>
  <c r="Q25" i="18"/>
  <c r="Q41" i="18" s="1"/>
  <c r="P25" i="18"/>
  <c r="S25" i="18" s="1"/>
  <c r="N25" i="18"/>
  <c r="N41" i="18" s="1"/>
  <c r="L25" i="18"/>
  <c r="K25" i="18"/>
  <c r="K41" i="18" s="1"/>
  <c r="J25" i="18"/>
  <c r="M25" i="18" s="1"/>
  <c r="H25" i="18"/>
  <c r="F25" i="18"/>
  <c r="F41" i="18" s="1"/>
  <c r="E25" i="18"/>
  <c r="D25" i="18"/>
  <c r="G25" i="18" s="1"/>
  <c r="AA24" i="18"/>
  <c r="AB24" i="18" s="1"/>
  <c r="Y24" i="18"/>
  <c r="U24" i="18"/>
  <c r="S24" i="18"/>
  <c r="O24" i="18"/>
  <c r="M24" i="18"/>
  <c r="I24" i="18"/>
  <c r="G24" i="18"/>
  <c r="Y23" i="18"/>
  <c r="AA23" i="18" s="1"/>
  <c r="AB23" i="18" s="1"/>
  <c r="S23" i="18"/>
  <c r="U23" i="18" s="1"/>
  <c r="M23" i="18"/>
  <c r="O23" i="18" s="1"/>
  <c r="G23" i="18"/>
  <c r="I23" i="18" s="1"/>
  <c r="AA22" i="18"/>
  <c r="AB22" i="18" s="1"/>
  <c r="Y22" i="18"/>
  <c r="U22" i="18"/>
  <c r="S22" i="18"/>
  <c r="O22" i="18"/>
  <c r="M22" i="18"/>
  <c r="I22" i="18"/>
  <c r="G22" i="18"/>
  <c r="Y21" i="18"/>
  <c r="AA21" i="18" s="1"/>
  <c r="AB21" i="18" s="1"/>
  <c r="S21" i="18"/>
  <c r="U21" i="18" s="1"/>
  <c r="M21" i="18"/>
  <c r="O21" i="18" s="1"/>
  <c r="G21" i="18"/>
  <c r="I21" i="18" s="1"/>
  <c r="AA20" i="18"/>
  <c r="AB20" i="18" s="1"/>
  <c r="Y20" i="18"/>
  <c r="U20" i="18"/>
  <c r="S20" i="18"/>
  <c r="O20" i="18"/>
  <c r="M20" i="18"/>
  <c r="I20" i="18"/>
  <c r="G20" i="18"/>
  <c r="Y19" i="18"/>
  <c r="AA19" i="18" s="1"/>
  <c r="AB19" i="18" s="1"/>
  <c r="S19" i="18"/>
  <c r="U19" i="18" s="1"/>
  <c r="M19" i="18"/>
  <c r="O19" i="18" s="1"/>
  <c r="G19" i="18"/>
  <c r="I19" i="18" s="1"/>
  <c r="Y18" i="18"/>
  <c r="AA18" i="18" s="1"/>
  <c r="S18" i="18"/>
  <c r="U18" i="18" s="1"/>
  <c r="M18" i="18"/>
  <c r="O18" i="18" s="1"/>
  <c r="G18" i="18"/>
  <c r="I18" i="18" s="1"/>
  <c r="V17" i="18"/>
  <c r="Y17" i="18" s="1"/>
  <c r="AA17" i="18" s="1"/>
  <c r="AB17" i="18" s="1"/>
  <c r="S17" i="18"/>
  <c r="U17" i="18" s="1"/>
  <c r="M17" i="18"/>
  <c r="O17" i="18" s="1"/>
  <c r="J17" i="18"/>
  <c r="I17" i="18"/>
  <c r="G17" i="18"/>
  <c r="Y16" i="18"/>
  <c r="AA16" i="18" s="1"/>
  <c r="S16" i="18"/>
  <c r="U16" i="18" s="1"/>
  <c r="M16" i="18"/>
  <c r="O16" i="18" s="1"/>
  <c r="J16" i="18"/>
  <c r="I16" i="18"/>
  <c r="G16" i="18"/>
  <c r="Y15" i="18"/>
  <c r="AA15" i="18" s="1"/>
  <c r="S15" i="18"/>
  <c r="U15" i="18" s="1"/>
  <c r="U25" i="18" s="1"/>
  <c r="M15" i="18"/>
  <c r="O15" i="18" s="1"/>
  <c r="G15" i="18"/>
  <c r="I15" i="18" s="1"/>
  <c r="I25" i="18" s="1"/>
  <c r="S40" i="18" l="1"/>
  <c r="P41" i="18"/>
  <c r="I40" i="18"/>
  <c r="I41" i="18"/>
  <c r="I42" i="18" s="1"/>
  <c r="O40" i="18"/>
  <c r="U41" i="18"/>
  <c r="U42" i="18" s="1"/>
  <c r="AB32" i="18"/>
  <c r="AB36" i="18"/>
  <c r="AA40" i="18"/>
  <c r="AB40" i="18" s="1"/>
  <c r="AB15" i="18"/>
  <c r="AA25" i="18"/>
  <c r="G40" i="18"/>
  <c r="D41" i="18"/>
  <c r="G41" i="18"/>
  <c r="S41" i="18"/>
  <c r="AB30" i="18"/>
  <c r="O25" i="18"/>
  <c r="O41" i="18" s="1"/>
  <c r="O42" i="18" s="1"/>
  <c r="AB16" i="18"/>
  <c r="E41" i="18"/>
  <c r="U40" i="18"/>
  <c r="AB39" i="18"/>
  <c r="V25" i="18"/>
  <c r="J40" i="18"/>
  <c r="M40" i="18" s="1"/>
  <c r="M41" i="18" s="1"/>
  <c r="W40" i="18"/>
  <c r="Y40" i="18" s="1"/>
  <c r="J41" i="18"/>
  <c r="W41" i="18" l="1"/>
  <c r="Y25" i="18"/>
  <c r="Y41" i="18" s="1"/>
  <c r="V41" i="18"/>
  <c r="AA41" i="18"/>
  <c r="AB25" i="18"/>
  <c r="AA42" i="18" l="1"/>
  <c r="AB42" i="18" s="1"/>
  <c r="AB41" i="18"/>
  <c r="Y71" i="17" l="1"/>
  <c r="Y76" i="17" s="1"/>
  <c r="Y64" i="17"/>
  <c r="Y55" i="17"/>
  <c r="S55" i="17"/>
  <c r="G55" i="17"/>
  <c r="J55" i="17" s="1"/>
  <c r="M55" i="17" s="1"/>
  <c r="Y54" i="17"/>
  <c r="S54" i="17"/>
  <c r="J54" i="17"/>
  <c r="M54" i="17" s="1"/>
  <c r="G54" i="17"/>
  <c r="Y53" i="17"/>
  <c r="S53" i="17"/>
  <c r="M53" i="17"/>
  <c r="J53" i="17"/>
  <c r="G53" i="17"/>
  <c r="Y52" i="17"/>
  <c r="S52" i="17"/>
  <c r="G52" i="17"/>
  <c r="J52" i="17" s="1"/>
  <c r="M52" i="17" s="1"/>
  <c r="Y51" i="17"/>
  <c r="X51" i="17"/>
  <c r="W51" i="17"/>
  <c r="V51" i="17"/>
  <c r="S51" i="17"/>
  <c r="R51" i="17"/>
  <c r="Q51" i="17"/>
  <c r="P51" i="17"/>
  <c r="L51" i="17"/>
  <c r="K51" i="17"/>
  <c r="G51" i="17"/>
  <c r="J51" i="17" s="1"/>
  <c r="M51" i="17" s="1"/>
  <c r="F51" i="17"/>
  <c r="E51" i="17"/>
  <c r="D51" i="17"/>
  <c r="Q41" i="17"/>
  <c r="E41" i="17"/>
  <c r="Z40" i="17"/>
  <c r="X40" i="17"/>
  <c r="W40" i="17"/>
  <c r="V40" i="17"/>
  <c r="Y40" i="17" s="1"/>
  <c r="T40" i="17"/>
  <c r="R40" i="17"/>
  <c r="Q40" i="17"/>
  <c r="P40" i="17"/>
  <c r="S40" i="17" s="1"/>
  <c r="N40" i="17"/>
  <c r="L40" i="17"/>
  <c r="K40" i="17"/>
  <c r="J40" i="17"/>
  <c r="M40" i="17" s="1"/>
  <c r="H40" i="17"/>
  <c r="F40" i="17"/>
  <c r="E40" i="17"/>
  <c r="D40" i="17"/>
  <c r="G40" i="17" s="1"/>
  <c r="AA39" i="17"/>
  <c r="AB39" i="17" s="1"/>
  <c r="Y39" i="17"/>
  <c r="S39" i="17"/>
  <c r="U39" i="17" s="1"/>
  <c r="O39" i="17"/>
  <c r="M39" i="17"/>
  <c r="G39" i="17"/>
  <c r="I39" i="17" s="1"/>
  <c r="Y38" i="17"/>
  <c r="AA38" i="17" s="1"/>
  <c r="AB38" i="17" s="1"/>
  <c r="S38" i="17"/>
  <c r="U38" i="17" s="1"/>
  <c r="M38" i="17"/>
  <c r="O38" i="17" s="1"/>
  <c r="G38" i="17"/>
  <c r="I38" i="17" s="1"/>
  <c r="Y37" i="17"/>
  <c r="AA37" i="17" s="1"/>
  <c r="AB37" i="17" s="1"/>
  <c r="U37" i="17"/>
  <c r="S37" i="17"/>
  <c r="M37" i="17"/>
  <c r="O37" i="17" s="1"/>
  <c r="I37" i="17"/>
  <c r="G37" i="17"/>
  <c r="Y36" i="17"/>
  <c r="AA36" i="17" s="1"/>
  <c r="S36" i="17"/>
  <c r="U36" i="17" s="1"/>
  <c r="M36" i="17"/>
  <c r="O36" i="17" s="1"/>
  <c r="O40" i="17" s="1"/>
  <c r="G36" i="17"/>
  <c r="I36" i="17" s="1"/>
  <c r="AA35" i="17"/>
  <c r="AB35" i="17" s="1"/>
  <c r="Y35" i="17"/>
  <c r="S35" i="17"/>
  <c r="U35" i="17" s="1"/>
  <c r="O35" i="17"/>
  <c r="M35" i="17"/>
  <c r="G35" i="17"/>
  <c r="I35" i="17" s="1"/>
  <c r="Y34" i="17"/>
  <c r="AA34" i="17" s="1"/>
  <c r="AB34" i="17" s="1"/>
  <c r="S34" i="17"/>
  <c r="U34" i="17" s="1"/>
  <c r="M34" i="17"/>
  <c r="O34" i="17" s="1"/>
  <c r="G34" i="17"/>
  <c r="I34" i="17" s="1"/>
  <c r="AA33" i="17"/>
  <c r="AB33" i="17" s="1"/>
  <c r="Y33" i="17"/>
  <c r="U33" i="17"/>
  <c r="S33" i="17"/>
  <c r="O33" i="17"/>
  <c r="M33" i="17"/>
  <c r="I33" i="17"/>
  <c r="G33" i="17"/>
  <c r="Y32" i="17"/>
  <c r="AA32" i="17" s="1"/>
  <c r="AB32" i="17" s="1"/>
  <c r="S32" i="17"/>
  <c r="U32" i="17" s="1"/>
  <c r="M32" i="17"/>
  <c r="O32" i="17" s="1"/>
  <c r="G32" i="17"/>
  <c r="I32" i="17" s="1"/>
  <c r="AA31" i="17"/>
  <c r="AB31" i="17" s="1"/>
  <c r="Y31" i="17"/>
  <c r="U31" i="17"/>
  <c r="S31" i="17"/>
  <c r="O31" i="17"/>
  <c r="M31" i="17"/>
  <c r="I31" i="17"/>
  <c r="G31" i="17"/>
  <c r="Y30" i="17"/>
  <c r="AA30" i="17" s="1"/>
  <c r="AB30" i="17" s="1"/>
  <c r="S30" i="17"/>
  <c r="U30" i="17" s="1"/>
  <c r="M30" i="17"/>
  <c r="O30" i="17" s="1"/>
  <c r="G30" i="17"/>
  <c r="I30" i="17" s="1"/>
  <c r="AA29" i="17"/>
  <c r="AB29" i="17" s="1"/>
  <c r="Y29" i="17"/>
  <c r="U29" i="17"/>
  <c r="S29" i="17"/>
  <c r="O29" i="17"/>
  <c r="M29" i="17"/>
  <c r="I29" i="17"/>
  <c r="G29" i="17"/>
  <c r="Z25" i="17"/>
  <c r="Z41" i="17" s="1"/>
  <c r="X25" i="17"/>
  <c r="X41" i="17" s="1"/>
  <c r="W25" i="17"/>
  <c r="W41" i="17" s="1"/>
  <c r="V25" i="17"/>
  <c r="Y25" i="17" s="1"/>
  <c r="Y41" i="17" s="1"/>
  <c r="T25" i="17"/>
  <c r="T41" i="17" s="1"/>
  <c r="R25" i="17"/>
  <c r="R41" i="17" s="1"/>
  <c r="Q25" i="17"/>
  <c r="P25" i="17"/>
  <c r="P41" i="17" s="1"/>
  <c r="N25" i="17"/>
  <c r="N41" i="17" s="1"/>
  <c r="L25" i="17"/>
  <c r="L41" i="17" s="1"/>
  <c r="K25" i="17"/>
  <c r="K41" i="17" s="1"/>
  <c r="J25" i="17"/>
  <c r="M25" i="17" s="1"/>
  <c r="M41" i="17" s="1"/>
  <c r="H25" i="17"/>
  <c r="H41" i="17" s="1"/>
  <c r="F25" i="17"/>
  <c r="F41" i="17" s="1"/>
  <c r="E25" i="17"/>
  <c r="D25" i="17"/>
  <c r="D41" i="17" s="1"/>
  <c r="AA24" i="17"/>
  <c r="AB24" i="17" s="1"/>
  <c r="Y24" i="17"/>
  <c r="U24" i="17"/>
  <c r="S24" i="17"/>
  <c r="O24" i="17"/>
  <c r="M24" i="17"/>
  <c r="I24" i="17"/>
  <c r="G24" i="17"/>
  <c r="Y23" i="17"/>
  <c r="AA23" i="17" s="1"/>
  <c r="AB23" i="17" s="1"/>
  <c r="S23" i="17"/>
  <c r="U23" i="17" s="1"/>
  <c r="M23" i="17"/>
  <c r="O23" i="17" s="1"/>
  <c r="G23" i="17"/>
  <c r="I23" i="17" s="1"/>
  <c r="AA22" i="17"/>
  <c r="AB22" i="17" s="1"/>
  <c r="Y22" i="17"/>
  <c r="U22" i="17"/>
  <c r="S22" i="17"/>
  <c r="O22" i="17"/>
  <c r="M22" i="17"/>
  <c r="I22" i="17"/>
  <c r="G22" i="17"/>
  <c r="Y21" i="17"/>
  <c r="AA21" i="17" s="1"/>
  <c r="AB21" i="17" s="1"/>
  <c r="S21" i="17"/>
  <c r="U21" i="17" s="1"/>
  <c r="M21" i="17"/>
  <c r="O21" i="17" s="1"/>
  <c r="G21" i="17"/>
  <c r="I21" i="17" s="1"/>
  <c r="AA20" i="17"/>
  <c r="AB20" i="17" s="1"/>
  <c r="Y20" i="17"/>
  <c r="U20" i="17"/>
  <c r="S20" i="17"/>
  <c r="O20" i="17"/>
  <c r="M20" i="17"/>
  <c r="I20" i="17"/>
  <c r="G20" i="17"/>
  <c r="Y19" i="17"/>
  <c r="AA19" i="17" s="1"/>
  <c r="AB19" i="17" s="1"/>
  <c r="S19" i="17"/>
  <c r="U19" i="17" s="1"/>
  <c r="M19" i="17"/>
  <c r="O19" i="17" s="1"/>
  <c r="G19" i="17"/>
  <c r="I19" i="17" s="1"/>
  <c r="Y18" i="17"/>
  <c r="AA18" i="17" s="1"/>
  <c r="S18" i="17"/>
  <c r="U18" i="17" s="1"/>
  <c r="M18" i="17"/>
  <c r="O18" i="17" s="1"/>
  <c r="G18" i="17"/>
  <c r="I18" i="17" s="1"/>
  <c r="AA17" i="17"/>
  <c r="AB17" i="17" s="1"/>
  <c r="Y17" i="17"/>
  <c r="U17" i="17"/>
  <c r="S17" i="17"/>
  <c r="O17" i="17"/>
  <c r="M17" i="17"/>
  <c r="I17" i="17"/>
  <c r="G17" i="17"/>
  <c r="Y16" i="17"/>
  <c r="AA16" i="17" s="1"/>
  <c r="AB16" i="17" s="1"/>
  <c r="S16" i="17"/>
  <c r="U16" i="17" s="1"/>
  <c r="M16" i="17"/>
  <c r="O16" i="17" s="1"/>
  <c r="G16" i="17"/>
  <c r="I16" i="17" s="1"/>
  <c r="AA15" i="17"/>
  <c r="AA25" i="17" s="1"/>
  <c r="Y15" i="17"/>
  <c r="U15" i="17"/>
  <c r="U25" i="17" s="1"/>
  <c r="S15" i="17"/>
  <c r="O15" i="17"/>
  <c r="O25" i="17" s="1"/>
  <c r="O41" i="17" s="1"/>
  <c r="O42" i="17" s="1"/>
  <c r="M15" i="17"/>
  <c r="I15" i="17"/>
  <c r="G15" i="17"/>
  <c r="AB25" i="17" l="1"/>
  <c r="U40" i="17"/>
  <c r="U41" i="17" s="1"/>
  <c r="U42" i="17" s="1"/>
  <c r="I25" i="17"/>
  <c r="AB36" i="17"/>
  <c r="AA40" i="17"/>
  <c r="AB40" i="17" s="1"/>
  <c r="I40" i="17"/>
  <c r="AB15" i="17"/>
  <c r="G25" i="17"/>
  <c r="G41" i="17" s="1"/>
  <c r="S25" i="17"/>
  <c r="S41" i="17" s="1"/>
  <c r="J41" i="17"/>
  <c r="V41" i="17"/>
  <c r="I41" i="17" l="1"/>
  <c r="I42" i="17" s="1"/>
  <c r="AA41" i="17"/>
  <c r="AA42" i="17" l="1"/>
  <c r="AB42" i="17" s="1"/>
  <c r="AB41" i="17"/>
  <c r="Y68" i="16" l="1"/>
  <c r="Y73" i="16" s="1"/>
  <c r="Y55" i="16"/>
  <c r="S55" i="16"/>
  <c r="M55" i="16"/>
  <c r="G55" i="16"/>
  <c r="Y54" i="16"/>
  <c r="S54" i="16"/>
  <c r="M54" i="16"/>
  <c r="G54" i="16"/>
  <c r="Y53" i="16"/>
  <c r="S53" i="16"/>
  <c r="M53" i="16"/>
  <c r="G53" i="16"/>
  <c r="Y52" i="16"/>
  <c r="S52" i="16"/>
  <c r="M52" i="16"/>
  <c r="G52" i="16"/>
  <c r="Y51" i="16"/>
  <c r="S51" i="16"/>
  <c r="M51" i="16"/>
  <c r="G51" i="16"/>
  <c r="X41" i="16"/>
  <c r="T41" i="16"/>
  <c r="P41" i="16"/>
  <c r="L41" i="16"/>
  <c r="H41" i="16"/>
  <c r="D41" i="16"/>
  <c r="Z40" i="16"/>
  <c r="Y40" i="16"/>
  <c r="X40" i="16"/>
  <c r="W40" i="16"/>
  <c r="V40" i="16"/>
  <c r="T40" i="16"/>
  <c r="R40" i="16"/>
  <c r="Q40" i="16"/>
  <c r="S40" i="16" s="1"/>
  <c r="P40" i="16"/>
  <c r="N40" i="16"/>
  <c r="M40" i="16"/>
  <c r="L40" i="16"/>
  <c r="K40" i="16"/>
  <c r="J40" i="16"/>
  <c r="H40" i="16"/>
  <c r="F40" i="16"/>
  <c r="E40" i="16"/>
  <c r="D40" i="16"/>
  <c r="G40" i="16" s="1"/>
  <c r="Y39" i="16"/>
  <c r="AA39" i="16" s="1"/>
  <c r="S39" i="16"/>
  <c r="U39" i="16" s="1"/>
  <c r="M39" i="16"/>
  <c r="O39" i="16" s="1"/>
  <c r="G39" i="16"/>
  <c r="I39" i="16" s="1"/>
  <c r="AA38" i="16"/>
  <c r="AB38" i="16" s="1"/>
  <c r="Y38" i="16"/>
  <c r="S38" i="16"/>
  <c r="U38" i="16" s="1"/>
  <c r="O38" i="16"/>
  <c r="M38" i="16"/>
  <c r="G38" i="16"/>
  <c r="I38" i="16" s="1"/>
  <c r="AB37" i="16"/>
  <c r="AA37" i="16"/>
  <c r="Y37" i="16"/>
  <c r="S37" i="16"/>
  <c r="U37" i="16" s="1"/>
  <c r="O37" i="16"/>
  <c r="M37" i="16"/>
  <c r="G37" i="16"/>
  <c r="I37" i="16" s="1"/>
  <c r="Y36" i="16"/>
  <c r="AA36" i="16" s="1"/>
  <c r="U36" i="16"/>
  <c r="S36" i="16"/>
  <c r="M36" i="16"/>
  <c r="O36" i="16" s="1"/>
  <c r="I36" i="16"/>
  <c r="G36" i="16"/>
  <c r="Y35" i="16"/>
  <c r="AA35" i="16" s="1"/>
  <c r="U35" i="16"/>
  <c r="S35" i="16"/>
  <c r="M35" i="16"/>
  <c r="O35" i="16" s="1"/>
  <c r="G35" i="16"/>
  <c r="I35" i="16" s="1"/>
  <c r="AA34" i="16"/>
  <c r="AB34" i="16" s="1"/>
  <c r="Y34" i="16"/>
  <c r="S34" i="16"/>
  <c r="U34" i="16" s="1"/>
  <c r="O34" i="16"/>
  <c r="M34" i="16"/>
  <c r="G34" i="16"/>
  <c r="I34" i="16" s="1"/>
  <c r="Y33" i="16"/>
  <c r="AA33" i="16" s="1"/>
  <c r="AB33" i="16" s="1"/>
  <c r="S33" i="16"/>
  <c r="U33" i="16" s="1"/>
  <c r="M33" i="16"/>
  <c r="O33" i="16" s="1"/>
  <c r="G33" i="16"/>
  <c r="I33" i="16" s="1"/>
  <c r="Y32" i="16"/>
  <c r="AA32" i="16" s="1"/>
  <c r="AB32" i="16" s="1"/>
  <c r="U32" i="16"/>
  <c r="S32" i="16"/>
  <c r="M32" i="16"/>
  <c r="O32" i="16" s="1"/>
  <c r="I32" i="16"/>
  <c r="G32" i="16"/>
  <c r="Y31" i="16"/>
  <c r="AA31" i="16" s="1"/>
  <c r="S31" i="16"/>
  <c r="U31" i="16" s="1"/>
  <c r="M31" i="16"/>
  <c r="O31" i="16" s="1"/>
  <c r="G31" i="16"/>
  <c r="I31" i="16" s="1"/>
  <c r="AA30" i="16"/>
  <c r="AB30" i="16" s="1"/>
  <c r="Y30" i="16"/>
  <c r="S30" i="16"/>
  <c r="U30" i="16" s="1"/>
  <c r="O30" i="16"/>
  <c r="M30" i="16"/>
  <c r="G30" i="16"/>
  <c r="I30" i="16" s="1"/>
  <c r="Y29" i="16"/>
  <c r="AA29" i="16" s="1"/>
  <c r="AB29" i="16" s="1"/>
  <c r="S29" i="16"/>
  <c r="U29" i="16" s="1"/>
  <c r="M29" i="16"/>
  <c r="O29" i="16" s="1"/>
  <c r="G29" i="16"/>
  <c r="I29" i="16" s="1"/>
  <c r="Z25" i="16"/>
  <c r="Z41" i="16" s="1"/>
  <c r="Y25" i="16"/>
  <c r="Y41" i="16" s="1"/>
  <c r="X25" i="16"/>
  <c r="W25" i="16"/>
  <c r="W41" i="16" s="1"/>
  <c r="V25" i="16"/>
  <c r="V41" i="16" s="1"/>
  <c r="T25" i="16"/>
  <c r="R25" i="16"/>
  <c r="R41" i="16" s="1"/>
  <c r="Q25" i="16"/>
  <c r="Q41" i="16" s="1"/>
  <c r="P25" i="16"/>
  <c r="S25" i="16" s="1"/>
  <c r="S41" i="16" s="1"/>
  <c r="N25" i="16"/>
  <c r="N41" i="16" s="1"/>
  <c r="M25" i="16"/>
  <c r="M41" i="16" s="1"/>
  <c r="L25" i="16"/>
  <c r="K25" i="16"/>
  <c r="K41" i="16" s="1"/>
  <c r="J25" i="16"/>
  <c r="J41" i="16" s="1"/>
  <c r="H25" i="16"/>
  <c r="F25" i="16"/>
  <c r="F41" i="16" s="1"/>
  <c r="E25" i="16"/>
  <c r="E41" i="16" s="1"/>
  <c r="D25" i="16"/>
  <c r="G25" i="16" s="1"/>
  <c r="G41" i="16" s="1"/>
  <c r="Y24" i="16"/>
  <c r="AA24" i="16" s="1"/>
  <c r="S24" i="16"/>
  <c r="U24" i="16" s="1"/>
  <c r="M24" i="16"/>
  <c r="O24" i="16" s="1"/>
  <c r="I24" i="16"/>
  <c r="G24" i="16"/>
  <c r="AA23" i="16"/>
  <c r="AB23" i="16" s="1"/>
  <c r="Y23" i="16"/>
  <c r="S23" i="16"/>
  <c r="U23" i="16" s="1"/>
  <c r="O23" i="16"/>
  <c r="M23" i="16"/>
  <c r="G23" i="16"/>
  <c r="I23" i="16" s="1"/>
  <c r="AB22" i="16"/>
  <c r="AA22" i="16"/>
  <c r="Y22" i="16"/>
  <c r="S22" i="16"/>
  <c r="U22" i="16" s="1"/>
  <c r="O22" i="16"/>
  <c r="M22" i="16"/>
  <c r="G22" i="16"/>
  <c r="I22" i="16" s="1"/>
  <c r="Y21" i="16"/>
  <c r="AA21" i="16" s="1"/>
  <c r="AB21" i="16" s="1"/>
  <c r="U21" i="16"/>
  <c r="S21" i="16"/>
  <c r="M21" i="16"/>
  <c r="O21" i="16" s="1"/>
  <c r="I21" i="16"/>
  <c r="G21" i="16"/>
  <c r="Y20" i="16"/>
  <c r="AA20" i="16" s="1"/>
  <c r="AB20" i="16" s="1"/>
  <c r="U20" i="16"/>
  <c r="S20" i="16"/>
  <c r="M20" i="16"/>
  <c r="O20" i="16" s="1"/>
  <c r="I20" i="16"/>
  <c r="G20" i="16"/>
  <c r="AA19" i="16"/>
  <c r="AB19" i="16" s="1"/>
  <c r="Y19" i="16"/>
  <c r="S19" i="16"/>
  <c r="U19" i="16" s="1"/>
  <c r="O19" i="16"/>
  <c r="M19" i="16"/>
  <c r="G19" i="16"/>
  <c r="I19" i="16" s="1"/>
  <c r="AA18" i="16"/>
  <c r="Y18" i="16"/>
  <c r="S18" i="16"/>
  <c r="U18" i="16" s="1"/>
  <c r="O18" i="16"/>
  <c r="M18" i="16"/>
  <c r="G18" i="16"/>
  <c r="I18" i="16" s="1"/>
  <c r="Y17" i="16"/>
  <c r="AA17" i="16" s="1"/>
  <c r="AB17" i="16" s="1"/>
  <c r="S17" i="16"/>
  <c r="U17" i="16" s="1"/>
  <c r="M17" i="16"/>
  <c r="O17" i="16" s="1"/>
  <c r="G17" i="16"/>
  <c r="I17" i="16" s="1"/>
  <c r="Y16" i="16"/>
  <c r="AA16" i="16" s="1"/>
  <c r="AB16" i="16" s="1"/>
  <c r="U16" i="16"/>
  <c r="S16" i="16"/>
  <c r="M16" i="16"/>
  <c r="O16" i="16" s="1"/>
  <c r="I16" i="16"/>
  <c r="G16" i="16"/>
  <c r="Y15" i="16"/>
  <c r="AA15" i="16" s="1"/>
  <c r="S15" i="16"/>
  <c r="U15" i="16" s="1"/>
  <c r="M15" i="16"/>
  <c r="O15" i="16" s="1"/>
  <c r="O25" i="16" s="1"/>
  <c r="G15" i="16"/>
  <c r="I15" i="16" s="1"/>
  <c r="U40" i="16" l="1"/>
  <c r="U25" i="16"/>
  <c r="U41" i="16" s="1"/>
  <c r="U42" i="16" s="1"/>
  <c r="I40" i="16"/>
  <c r="AB36" i="16"/>
  <c r="AA40" i="16"/>
  <c r="AB15" i="16"/>
  <c r="AA25" i="16"/>
  <c r="AB24" i="16"/>
  <c r="AB31" i="16"/>
  <c r="O40" i="16"/>
  <c r="O41" i="16" s="1"/>
  <c r="O42" i="16" s="1"/>
  <c r="AB39" i="16"/>
  <c r="I25" i="16"/>
  <c r="AB35" i="16"/>
  <c r="AA41" i="16" l="1"/>
  <c r="AB25" i="16"/>
  <c r="AB40" i="16"/>
  <c r="I41" i="16"/>
  <c r="I42" i="16" s="1"/>
  <c r="AA42" i="16" l="1"/>
  <c r="AB42" i="16" s="1"/>
  <c r="AB41" i="16"/>
  <c r="Y73" i="15" l="1"/>
  <c r="Y55" i="15"/>
  <c r="S55" i="15"/>
  <c r="M55" i="15"/>
  <c r="G55" i="15"/>
  <c r="Y54" i="15"/>
  <c r="S54" i="15"/>
  <c r="M54" i="15"/>
  <c r="G54" i="15"/>
  <c r="Y53" i="15"/>
  <c r="S53" i="15"/>
  <c r="M53" i="15"/>
  <c r="G53" i="15"/>
  <c r="Y52" i="15"/>
  <c r="S52" i="15"/>
  <c r="M52" i="15"/>
  <c r="G52" i="15"/>
  <c r="Y51" i="15"/>
  <c r="S51" i="15"/>
  <c r="M51" i="15"/>
  <c r="G51" i="15"/>
  <c r="W41" i="15"/>
  <c r="K41" i="15"/>
  <c r="Z40" i="15"/>
  <c r="X40" i="15"/>
  <c r="X41" i="15" s="1"/>
  <c r="W40" i="15"/>
  <c r="V40" i="15"/>
  <c r="T40" i="15"/>
  <c r="T41" i="15" s="1"/>
  <c r="R40" i="15"/>
  <c r="Q40" i="15"/>
  <c r="P40" i="15"/>
  <c r="S40" i="15" s="1"/>
  <c r="N40" i="15"/>
  <c r="L40" i="15"/>
  <c r="L41" i="15" s="1"/>
  <c r="K40" i="15"/>
  <c r="J40" i="15"/>
  <c r="H40" i="15"/>
  <c r="H41" i="15" s="1"/>
  <c r="F40" i="15"/>
  <c r="E40" i="15"/>
  <c r="D40" i="15"/>
  <c r="G40" i="15" s="1"/>
  <c r="Y39" i="15"/>
  <c r="AA39" i="15" s="1"/>
  <c r="AB39" i="15" s="1"/>
  <c r="U39" i="15"/>
  <c r="S39" i="15"/>
  <c r="M39" i="15"/>
  <c r="O39" i="15" s="1"/>
  <c r="I39" i="15"/>
  <c r="G39" i="15"/>
  <c r="Y38" i="15"/>
  <c r="AA38" i="15" s="1"/>
  <c r="S38" i="15"/>
  <c r="U38" i="15" s="1"/>
  <c r="M38" i="15"/>
  <c r="O38" i="15" s="1"/>
  <c r="G38" i="15"/>
  <c r="I38" i="15" s="1"/>
  <c r="AA37" i="15"/>
  <c r="AB37" i="15" s="1"/>
  <c r="Y37" i="15"/>
  <c r="S37" i="15"/>
  <c r="U37" i="15" s="1"/>
  <c r="O37" i="15"/>
  <c r="M37" i="15"/>
  <c r="G37" i="15"/>
  <c r="I37" i="15" s="1"/>
  <c r="Y36" i="15"/>
  <c r="AA36" i="15" s="1"/>
  <c r="S36" i="15"/>
  <c r="U36" i="15" s="1"/>
  <c r="M36" i="15"/>
  <c r="O36" i="15" s="1"/>
  <c r="G36" i="15"/>
  <c r="I36" i="15" s="1"/>
  <c r="Y35" i="15"/>
  <c r="AA35" i="15" s="1"/>
  <c r="AB35" i="15" s="1"/>
  <c r="U35" i="15"/>
  <c r="S35" i="15"/>
  <c r="M35" i="15"/>
  <c r="O35" i="15" s="1"/>
  <c r="I35" i="15"/>
  <c r="G35" i="15"/>
  <c r="Y34" i="15"/>
  <c r="AA34" i="15" s="1"/>
  <c r="S34" i="15"/>
  <c r="U34" i="15" s="1"/>
  <c r="M34" i="15"/>
  <c r="O34" i="15" s="1"/>
  <c r="G34" i="15"/>
  <c r="I34" i="15" s="1"/>
  <c r="AA33" i="15"/>
  <c r="AB33" i="15" s="1"/>
  <c r="Y33" i="15"/>
  <c r="S33" i="15"/>
  <c r="U33" i="15" s="1"/>
  <c r="O33" i="15"/>
  <c r="M33" i="15"/>
  <c r="G33" i="15"/>
  <c r="I33" i="15" s="1"/>
  <c r="Y32" i="15"/>
  <c r="AA32" i="15" s="1"/>
  <c r="AB32" i="15" s="1"/>
  <c r="S32" i="15"/>
  <c r="U32" i="15" s="1"/>
  <c r="M32" i="15"/>
  <c r="O32" i="15" s="1"/>
  <c r="G32" i="15"/>
  <c r="I32" i="15" s="1"/>
  <c r="AA31" i="15"/>
  <c r="AB31" i="15" s="1"/>
  <c r="S31" i="15"/>
  <c r="U31" i="15" s="1"/>
  <c r="M31" i="15"/>
  <c r="O31" i="15" s="1"/>
  <c r="I31" i="15"/>
  <c r="Y30" i="15"/>
  <c r="AA30" i="15" s="1"/>
  <c r="AB30" i="15" s="1"/>
  <c r="S30" i="15"/>
  <c r="U30" i="15" s="1"/>
  <c r="M30" i="15"/>
  <c r="O30" i="15" s="1"/>
  <c r="G30" i="15"/>
  <c r="I30" i="15" s="1"/>
  <c r="Y29" i="15"/>
  <c r="AA29" i="15" s="1"/>
  <c r="AB29" i="15" s="1"/>
  <c r="U29" i="15"/>
  <c r="S29" i="15"/>
  <c r="M29" i="15"/>
  <c r="O29" i="15" s="1"/>
  <c r="I29" i="15"/>
  <c r="G29" i="15"/>
  <c r="Z25" i="15"/>
  <c r="Z41" i="15" s="1"/>
  <c r="X25" i="15"/>
  <c r="W25" i="15"/>
  <c r="V25" i="15"/>
  <c r="V41" i="15" s="1"/>
  <c r="T25" i="15"/>
  <c r="R25" i="15"/>
  <c r="R41" i="15" s="1"/>
  <c r="Q25" i="15"/>
  <c r="Q41" i="15" s="1"/>
  <c r="P25" i="15"/>
  <c r="N25" i="15"/>
  <c r="N41" i="15" s="1"/>
  <c r="L25" i="15"/>
  <c r="K25" i="15"/>
  <c r="J25" i="15"/>
  <c r="J41" i="15" s="1"/>
  <c r="H25" i="15"/>
  <c r="F25" i="15"/>
  <c r="F41" i="15" s="1"/>
  <c r="E25" i="15"/>
  <c r="E41" i="15" s="1"/>
  <c r="D25" i="15"/>
  <c r="AA24" i="15"/>
  <c r="AB24" i="15" s="1"/>
  <c r="Y24" i="15"/>
  <c r="S24" i="15"/>
  <c r="U24" i="15" s="1"/>
  <c r="O24" i="15"/>
  <c r="M24" i="15"/>
  <c r="G24" i="15"/>
  <c r="I24" i="15" s="1"/>
  <c r="Y23" i="15"/>
  <c r="AA23" i="15" s="1"/>
  <c r="AB23" i="15" s="1"/>
  <c r="S23" i="15"/>
  <c r="U23" i="15" s="1"/>
  <c r="M23" i="15"/>
  <c r="O23" i="15" s="1"/>
  <c r="G23" i="15"/>
  <c r="I23" i="15" s="1"/>
  <c r="Y22" i="15"/>
  <c r="AA22" i="15" s="1"/>
  <c r="AB22" i="15" s="1"/>
  <c r="U22" i="15"/>
  <c r="S22" i="15"/>
  <c r="M22" i="15"/>
  <c r="O22" i="15" s="1"/>
  <c r="I22" i="15"/>
  <c r="Y21" i="15"/>
  <c r="AA21" i="15" s="1"/>
  <c r="U21" i="15"/>
  <c r="S21" i="15"/>
  <c r="M21" i="15"/>
  <c r="O21" i="15" s="1"/>
  <c r="I21" i="15"/>
  <c r="Y20" i="15"/>
  <c r="AA20" i="15" s="1"/>
  <c r="AB20" i="15" s="1"/>
  <c r="U20" i="15"/>
  <c r="S20" i="15"/>
  <c r="M20" i="15"/>
  <c r="O20" i="15" s="1"/>
  <c r="I20" i="15"/>
  <c r="Y19" i="15"/>
  <c r="AA19" i="15" s="1"/>
  <c r="AB19" i="15" s="1"/>
  <c r="U19" i="15"/>
  <c r="S19" i="15"/>
  <c r="M19" i="15"/>
  <c r="O19" i="15" s="1"/>
  <c r="I19" i="15"/>
  <c r="G19" i="15"/>
  <c r="Y18" i="15"/>
  <c r="AA18" i="15" s="1"/>
  <c r="U18" i="15"/>
  <c r="S18" i="15"/>
  <c r="M18" i="15"/>
  <c r="O18" i="15" s="1"/>
  <c r="I18" i="15"/>
  <c r="G18" i="15"/>
  <c r="Y17" i="15"/>
  <c r="AA17" i="15" s="1"/>
  <c r="AB17" i="15" s="1"/>
  <c r="S17" i="15"/>
  <c r="U17" i="15" s="1"/>
  <c r="M17" i="15"/>
  <c r="O17" i="15" s="1"/>
  <c r="I17" i="15"/>
  <c r="Y16" i="15"/>
  <c r="AA16" i="15" s="1"/>
  <c r="AB16" i="15" s="1"/>
  <c r="S16" i="15"/>
  <c r="U16" i="15" s="1"/>
  <c r="M16" i="15"/>
  <c r="O16" i="15" s="1"/>
  <c r="I16" i="15"/>
  <c r="Y15" i="15"/>
  <c r="AA15" i="15" s="1"/>
  <c r="S15" i="15"/>
  <c r="U15" i="15" s="1"/>
  <c r="U25" i="15" s="1"/>
  <c r="M15" i="15"/>
  <c r="O15" i="15" s="1"/>
  <c r="G15" i="15"/>
  <c r="I15" i="15" s="1"/>
  <c r="I25" i="15" s="1"/>
  <c r="AA40" i="15" l="1"/>
  <c r="AB40" i="15" s="1"/>
  <c r="AB36" i="15"/>
  <c r="AB15" i="15"/>
  <c r="AA25" i="15"/>
  <c r="I40" i="15"/>
  <c r="I41" i="15"/>
  <c r="I42" i="15" s="1"/>
  <c r="AB34" i="15"/>
  <c r="O40" i="15"/>
  <c r="AB38" i="15"/>
  <c r="O25" i="15"/>
  <c r="O41" i="15" s="1"/>
  <c r="O42" i="15" s="1"/>
  <c r="AB21" i="15"/>
  <c r="U40" i="15"/>
  <c r="U41" i="15" s="1"/>
  <c r="U42" i="15" s="1"/>
  <c r="S25" i="15"/>
  <c r="S41" i="15" s="1"/>
  <c r="M40" i="15"/>
  <c r="D41" i="15"/>
  <c r="G25" i="15"/>
  <c r="G41" i="15" s="1"/>
  <c r="Y40" i="15"/>
  <c r="P41" i="15"/>
  <c r="M25" i="15"/>
  <c r="M41" i="15" s="1"/>
  <c r="Y25" i="15"/>
  <c r="Y41" i="15" l="1"/>
  <c r="AA41" i="15"/>
  <c r="AB25" i="15"/>
  <c r="AA42" i="15" l="1"/>
  <c r="AB42" i="15" s="1"/>
  <c r="AB41" i="15"/>
  <c r="Y68" i="14" l="1"/>
  <c r="Y73" i="14" s="1"/>
  <c r="Y55" i="14"/>
  <c r="S55" i="14"/>
  <c r="M55" i="14"/>
  <c r="G55" i="14"/>
  <c r="Y54" i="14"/>
  <c r="S54" i="14"/>
  <c r="M54" i="14"/>
  <c r="G54" i="14"/>
  <c r="Y53" i="14"/>
  <c r="S53" i="14"/>
  <c r="M53" i="14"/>
  <c r="G53" i="14"/>
  <c r="Y52" i="14"/>
  <c r="S52" i="14"/>
  <c r="M52" i="14"/>
  <c r="G52" i="14"/>
  <c r="Y51" i="14"/>
  <c r="S51" i="14"/>
  <c r="M51" i="14"/>
  <c r="W41" i="14"/>
  <c r="K41" i="14"/>
  <c r="Z40" i="14"/>
  <c r="X40" i="14"/>
  <c r="W40" i="14"/>
  <c r="V40" i="14"/>
  <c r="Y40" i="14" s="1"/>
  <c r="T40" i="14"/>
  <c r="R40" i="14"/>
  <c r="Q40" i="14"/>
  <c r="P40" i="14"/>
  <c r="S40" i="14" s="1"/>
  <c r="N40" i="14"/>
  <c r="L40" i="14"/>
  <c r="K40" i="14"/>
  <c r="J40" i="14"/>
  <c r="M40" i="14" s="1"/>
  <c r="H40" i="14"/>
  <c r="F40" i="14"/>
  <c r="E40" i="14"/>
  <c r="D40" i="14"/>
  <c r="G40" i="14" s="1"/>
  <c r="Y39" i="14"/>
  <c r="AA39" i="14" s="1"/>
  <c r="AB39" i="14" s="1"/>
  <c r="U39" i="14"/>
  <c r="S39" i="14"/>
  <c r="M39" i="14"/>
  <c r="O39" i="14" s="1"/>
  <c r="I39" i="14"/>
  <c r="G39" i="14"/>
  <c r="Y38" i="14"/>
  <c r="AA38" i="14" s="1"/>
  <c r="S38" i="14"/>
  <c r="U38" i="14" s="1"/>
  <c r="M38" i="14"/>
  <c r="O38" i="14" s="1"/>
  <c r="G38" i="14"/>
  <c r="I38" i="14" s="1"/>
  <c r="AA37" i="14"/>
  <c r="AB37" i="14" s="1"/>
  <c r="Y37" i="14"/>
  <c r="S37" i="14"/>
  <c r="U37" i="14" s="1"/>
  <c r="O37" i="14"/>
  <c r="M37" i="14"/>
  <c r="G37" i="14"/>
  <c r="I37" i="14" s="1"/>
  <c r="Y36" i="14"/>
  <c r="AA36" i="14" s="1"/>
  <c r="S36" i="14"/>
  <c r="U36" i="14" s="1"/>
  <c r="M36" i="14"/>
  <c r="O36" i="14" s="1"/>
  <c r="G36" i="14"/>
  <c r="I36" i="14" s="1"/>
  <c r="Y35" i="14"/>
  <c r="AA35" i="14" s="1"/>
  <c r="AB35" i="14" s="1"/>
  <c r="U35" i="14"/>
  <c r="S35" i="14"/>
  <c r="M35" i="14"/>
  <c r="O35" i="14" s="1"/>
  <c r="I35" i="14"/>
  <c r="G35" i="14"/>
  <c r="Y34" i="14"/>
  <c r="AA34" i="14" s="1"/>
  <c r="S34" i="14"/>
  <c r="U34" i="14" s="1"/>
  <c r="M34" i="14"/>
  <c r="O34" i="14" s="1"/>
  <c r="G34" i="14"/>
  <c r="I34" i="14" s="1"/>
  <c r="AA33" i="14"/>
  <c r="AB33" i="14" s="1"/>
  <c r="Y33" i="14"/>
  <c r="S33" i="14"/>
  <c r="U33" i="14" s="1"/>
  <c r="O33" i="14"/>
  <c r="M33" i="14"/>
  <c r="G33" i="14"/>
  <c r="I33" i="14" s="1"/>
  <c r="Y32" i="14"/>
  <c r="AA32" i="14" s="1"/>
  <c r="AB32" i="14" s="1"/>
  <c r="S32" i="14"/>
  <c r="U32" i="14" s="1"/>
  <c r="M32" i="14"/>
  <c r="O32" i="14" s="1"/>
  <c r="G32" i="14"/>
  <c r="I32" i="14" s="1"/>
  <c r="Y31" i="14"/>
  <c r="AA31" i="14" s="1"/>
  <c r="AB31" i="14" s="1"/>
  <c r="U31" i="14"/>
  <c r="S31" i="14"/>
  <c r="M31" i="14"/>
  <c r="O31" i="14" s="1"/>
  <c r="I31" i="14"/>
  <c r="G31" i="14"/>
  <c r="Y30" i="14"/>
  <c r="AA30" i="14" s="1"/>
  <c r="S30" i="14"/>
  <c r="U30" i="14" s="1"/>
  <c r="M30" i="14"/>
  <c r="O30" i="14" s="1"/>
  <c r="G30" i="14"/>
  <c r="I30" i="14" s="1"/>
  <c r="AA29" i="14"/>
  <c r="AB29" i="14" s="1"/>
  <c r="Y29" i="14"/>
  <c r="S29" i="14"/>
  <c r="U29" i="14" s="1"/>
  <c r="O29" i="14"/>
  <c r="M29" i="14"/>
  <c r="G29" i="14"/>
  <c r="I29" i="14" s="1"/>
  <c r="Z25" i="14"/>
  <c r="Z41" i="14" s="1"/>
  <c r="X25" i="14"/>
  <c r="X41" i="14" s="1"/>
  <c r="W25" i="14"/>
  <c r="V25" i="14"/>
  <c r="V41" i="14" s="1"/>
  <c r="T25" i="14"/>
  <c r="T41" i="14" s="1"/>
  <c r="R25" i="14"/>
  <c r="R41" i="14" s="1"/>
  <c r="Q25" i="14"/>
  <c r="Q41" i="14" s="1"/>
  <c r="P25" i="14"/>
  <c r="S25" i="14" s="1"/>
  <c r="S41" i="14" s="1"/>
  <c r="N25" i="14"/>
  <c r="N41" i="14" s="1"/>
  <c r="L25" i="14"/>
  <c r="L41" i="14" s="1"/>
  <c r="K25" i="14"/>
  <c r="J25" i="14"/>
  <c r="J41" i="14" s="1"/>
  <c r="H25" i="14"/>
  <c r="H41" i="14" s="1"/>
  <c r="F25" i="14"/>
  <c r="F41" i="14" s="1"/>
  <c r="E25" i="14"/>
  <c r="E41" i="14" s="1"/>
  <c r="D25" i="14"/>
  <c r="G25" i="14" s="1"/>
  <c r="G41" i="14" s="1"/>
  <c r="Y24" i="14"/>
  <c r="AA24" i="14" s="1"/>
  <c r="AB24" i="14" s="1"/>
  <c r="U24" i="14"/>
  <c r="S24" i="14"/>
  <c r="M24" i="14"/>
  <c r="O24" i="14" s="1"/>
  <c r="I24" i="14"/>
  <c r="G24" i="14"/>
  <c r="Y23" i="14"/>
  <c r="AA23" i="14" s="1"/>
  <c r="U23" i="14"/>
  <c r="S23" i="14"/>
  <c r="M23" i="14"/>
  <c r="O23" i="14" s="1"/>
  <c r="I23" i="14"/>
  <c r="G23" i="14"/>
  <c r="AA22" i="14"/>
  <c r="AB22" i="14" s="1"/>
  <c r="Y22" i="14"/>
  <c r="S22" i="14"/>
  <c r="U22" i="14" s="1"/>
  <c r="O22" i="14"/>
  <c r="M22" i="14"/>
  <c r="G22" i="14"/>
  <c r="I22" i="14" s="1"/>
  <c r="AB21" i="14"/>
  <c r="AA21" i="14"/>
  <c r="Y21" i="14"/>
  <c r="S21" i="14"/>
  <c r="U21" i="14" s="1"/>
  <c r="O21" i="14"/>
  <c r="M21" i="14"/>
  <c r="AA20" i="14"/>
  <c r="AB20" i="14" s="1"/>
  <c r="Y20" i="14"/>
  <c r="S20" i="14"/>
  <c r="U20" i="14" s="1"/>
  <c r="O20" i="14"/>
  <c r="M20" i="14"/>
  <c r="G20" i="14"/>
  <c r="I20" i="14" s="1"/>
  <c r="AB19" i="14"/>
  <c r="AA19" i="14"/>
  <c r="Y19" i="14"/>
  <c r="S19" i="14"/>
  <c r="U19" i="14" s="1"/>
  <c r="O19" i="14"/>
  <c r="M19" i="14"/>
  <c r="G19" i="14"/>
  <c r="I19" i="14" s="1"/>
  <c r="AA18" i="14"/>
  <c r="Y18" i="14"/>
  <c r="S18" i="14"/>
  <c r="U18" i="14" s="1"/>
  <c r="O18" i="14"/>
  <c r="M18" i="14"/>
  <c r="G18" i="14"/>
  <c r="I18" i="14" s="1"/>
  <c r="AA17" i="14"/>
  <c r="Y17" i="14"/>
  <c r="U17" i="14"/>
  <c r="S17" i="14"/>
  <c r="O17" i="14"/>
  <c r="AB17" i="14" s="1"/>
  <c r="M17" i="14"/>
  <c r="I17" i="14"/>
  <c r="G17" i="14"/>
  <c r="Y16" i="14"/>
  <c r="AA16" i="14" s="1"/>
  <c r="AB16" i="14" s="1"/>
  <c r="U16" i="14"/>
  <c r="S16" i="14"/>
  <c r="M16" i="14"/>
  <c r="O16" i="14" s="1"/>
  <c r="I16" i="14"/>
  <c r="G16" i="14"/>
  <c r="AA15" i="14"/>
  <c r="AA25" i="14" s="1"/>
  <c r="Y15" i="14"/>
  <c r="U15" i="14"/>
  <c r="S15" i="14"/>
  <c r="O15" i="14"/>
  <c r="O25" i="14" s="1"/>
  <c r="M15" i="14"/>
  <c r="I15" i="14"/>
  <c r="G15" i="14"/>
  <c r="U40" i="14" l="1"/>
  <c r="AA40" i="14"/>
  <c r="AB40" i="14" s="1"/>
  <c r="AB36" i="14"/>
  <c r="I25" i="14"/>
  <c r="I40" i="14"/>
  <c r="AB25" i="14"/>
  <c r="AA41" i="14"/>
  <c r="U25" i="14"/>
  <c r="AB23" i="14"/>
  <c r="AB30" i="14"/>
  <c r="AB34" i="14"/>
  <c r="O40" i="14"/>
  <c r="O41" i="14" s="1"/>
  <c r="O42" i="14" s="1"/>
  <c r="AB38" i="14"/>
  <c r="AB15" i="14"/>
  <c r="M25" i="14"/>
  <c r="M41" i="14" s="1"/>
  <c r="Y25" i="14"/>
  <c r="Y41" i="14" s="1"/>
  <c r="D41" i="14"/>
  <c r="P41" i="14"/>
  <c r="AA42" i="14" l="1"/>
  <c r="AB42" i="14" s="1"/>
  <c r="AB41" i="14"/>
  <c r="U41" i="14"/>
  <c r="U42" i="14" s="1"/>
  <c r="I41" i="14"/>
  <c r="I42" i="14" s="1"/>
  <c r="Y76" i="13" l="1"/>
  <c r="AB69" i="13"/>
  <c r="Y67" i="13"/>
  <c r="Y64" i="13"/>
  <c r="W55" i="13"/>
  <c r="Y55" i="13" s="1"/>
  <c r="S55" i="13"/>
  <c r="M55" i="13"/>
  <c r="G55" i="13"/>
  <c r="Y54" i="13"/>
  <c r="S54" i="13"/>
  <c r="M54" i="13"/>
  <c r="G54" i="13"/>
  <c r="Y53" i="13"/>
  <c r="S53" i="13"/>
  <c r="M53" i="13"/>
  <c r="G53" i="13"/>
  <c r="X52" i="13"/>
  <c r="W52" i="13"/>
  <c r="Y52" i="13" s="1"/>
  <c r="S52" i="13"/>
  <c r="M52" i="13"/>
  <c r="G52" i="13"/>
  <c r="X51" i="13"/>
  <c r="W51" i="13"/>
  <c r="Y51" i="13" s="1"/>
  <c r="V51" i="13"/>
  <c r="S51" i="13"/>
  <c r="R51" i="13"/>
  <c r="Q51" i="13"/>
  <c r="P51" i="13"/>
  <c r="M51" i="13"/>
  <c r="L51" i="13"/>
  <c r="K51" i="13"/>
  <c r="J51" i="13"/>
  <c r="F51" i="13"/>
  <c r="E51" i="13"/>
  <c r="G51" i="13" s="1"/>
  <c r="D51" i="13"/>
  <c r="V45" i="13"/>
  <c r="P45" i="13"/>
  <c r="J45" i="13"/>
  <c r="D45" i="13"/>
  <c r="Z40" i="13"/>
  <c r="X40" i="13"/>
  <c r="T40" i="13"/>
  <c r="N40" i="13"/>
  <c r="L40" i="13"/>
  <c r="J40" i="13"/>
  <c r="H40" i="13"/>
  <c r="F40" i="13"/>
  <c r="W39" i="13"/>
  <c r="Y39" i="13" s="1"/>
  <c r="AA39" i="13" s="1"/>
  <c r="V39" i="13"/>
  <c r="R39" i="13"/>
  <c r="R40" i="13" s="1"/>
  <c r="Q39" i="13"/>
  <c r="P39" i="13"/>
  <c r="S39" i="13" s="1"/>
  <c r="U39" i="13" s="1"/>
  <c r="M39" i="13"/>
  <c r="O39" i="13" s="1"/>
  <c r="F39" i="13"/>
  <c r="E39" i="13"/>
  <c r="G39" i="13" s="1"/>
  <c r="I39" i="13" s="1"/>
  <c r="D39" i="13"/>
  <c r="Y38" i="13"/>
  <c r="AA38" i="13" s="1"/>
  <c r="AB38" i="13" s="1"/>
  <c r="S38" i="13"/>
  <c r="U38" i="13" s="1"/>
  <c r="M38" i="13"/>
  <c r="O38" i="13" s="1"/>
  <c r="G38" i="13"/>
  <c r="I38" i="13" s="1"/>
  <c r="AA37" i="13"/>
  <c r="AB37" i="13" s="1"/>
  <c r="Y37" i="13"/>
  <c r="U37" i="13"/>
  <c r="S37" i="13"/>
  <c r="O37" i="13"/>
  <c r="M37" i="13"/>
  <c r="I37" i="13"/>
  <c r="G37" i="13"/>
  <c r="W36" i="13"/>
  <c r="W40" i="13" s="1"/>
  <c r="V36" i="13"/>
  <c r="S36" i="13"/>
  <c r="U36" i="13" s="1"/>
  <c r="Q36" i="13"/>
  <c r="Q40" i="13" s="1"/>
  <c r="O36" i="13"/>
  <c r="M36" i="13"/>
  <c r="E36" i="13"/>
  <c r="E40" i="13" s="1"/>
  <c r="D36" i="13"/>
  <c r="Y35" i="13"/>
  <c r="AA35" i="13" s="1"/>
  <c r="AB35" i="13" s="1"/>
  <c r="V35" i="13"/>
  <c r="Q35" i="13"/>
  <c r="S35" i="13" s="1"/>
  <c r="U35" i="13" s="1"/>
  <c r="M35" i="13"/>
  <c r="O35" i="13" s="1"/>
  <c r="G35" i="13"/>
  <c r="I35" i="13" s="1"/>
  <c r="E35" i="13"/>
  <c r="Y34" i="13"/>
  <c r="AA34" i="13" s="1"/>
  <c r="W34" i="13"/>
  <c r="V34" i="13"/>
  <c r="V33" i="13" s="1"/>
  <c r="Y33" i="13" s="1"/>
  <c r="AA33" i="13" s="1"/>
  <c r="AB33" i="13" s="1"/>
  <c r="S34" i="13"/>
  <c r="U34" i="13" s="1"/>
  <c r="Q34" i="13"/>
  <c r="P34" i="13"/>
  <c r="P33" i="13" s="1"/>
  <c r="S33" i="13" s="1"/>
  <c r="U33" i="13" s="1"/>
  <c r="M34" i="13"/>
  <c r="O34" i="13" s="1"/>
  <c r="E34" i="13"/>
  <c r="D34" i="13"/>
  <c r="D33" i="13" s="1"/>
  <c r="G33" i="13" s="1"/>
  <c r="I33" i="13" s="1"/>
  <c r="Z33" i="13"/>
  <c r="X33" i="13"/>
  <c r="W33" i="13"/>
  <c r="T33" i="13"/>
  <c r="R33" i="13"/>
  <c r="Q33" i="13"/>
  <c r="N33" i="13"/>
  <c r="M33" i="13"/>
  <c r="O33" i="13" s="1"/>
  <c r="L33" i="13"/>
  <c r="K33" i="13"/>
  <c r="K40" i="13" s="1"/>
  <c r="J33" i="13"/>
  <c r="H33" i="13"/>
  <c r="F33" i="13"/>
  <c r="E33" i="13"/>
  <c r="Y32" i="13"/>
  <c r="AA32" i="13" s="1"/>
  <c r="V32" i="13"/>
  <c r="Q32" i="13"/>
  <c r="S32" i="13" s="1"/>
  <c r="U32" i="13" s="1"/>
  <c r="M32" i="13"/>
  <c r="O32" i="13" s="1"/>
  <c r="G32" i="13"/>
  <c r="I32" i="13" s="1"/>
  <c r="E32" i="13"/>
  <c r="D32" i="13"/>
  <c r="AA31" i="13"/>
  <c r="AB31" i="13" s="1"/>
  <c r="Y31" i="13"/>
  <c r="U31" i="13"/>
  <c r="S31" i="13"/>
  <c r="O31" i="13"/>
  <c r="M31" i="13"/>
  <c r="I31" i="13"/>
  <c r="G31" i="13"/>
  <c r="Y30" i="13"/>
  <c r="AA30" i="13" s="1"/>
  <c r="AB30" i="13" s="1"/>
  <c r="V30" i="13"/>
  <c r="Q30" i="13"/>
  <c r="S30" i="13" s="1"/>
  <c r="U30" i="13" s="1"/>
  <c r="M30" i="13"/>
  <c r="O30" i="13" s="1"/>
  <c r="E30" i="13"/>
  <c r="D30" i="13"/>
  <c r="AA29" i="13"/>
  <c r="AB29" i="13" s="1"/>
  <c r="Y29" i="13"/>
  <c r="U29" i="13"/>
  <c r="S29" i="13"/>
  <c r="O29" i="13"/>
  <c r="M29" i="13"/>
  <c r="I29" i="13"/>
  <c r="G29" i="13"/>
  <c r="Z25" i="13"/>
  <c r="Z41" i="13" s="1"/>
  <c r="X25" i="13"/>
  <c r="X41" i="13" s="1"/>
  <c r="W25" i="13"/>
  <c r="W41" i="13" s="1"/>
  <c r="T25" i="13"/>
  <c r="T41" i="13" s="1"/>
  <c r="P25" i="13"/>
  <c r="N25" i="13"/>
  <c r="N41" i="13" s="1"/>
  <c r="L25" i="13"/>
  <c r="L41" i="13" s="1"/>
  <c r="K25" i="13"/>
  <c r="J25" i="13"/>
  <c r="J41" i="13" s="1"/>
  <c r="H25" i="13"/>
  <c r="H41" i="13" s="1"/>
  <c r="AA24" i="13"/>
  <c r="AB24" i="13" s="1"/>
  <c r="Y24" i="13"/>
  <c r="U24" i="13"/>
  <c r="S24" i="13"/>
  <c r="O24" i="13"/>
  <c r="M24" i="13"/>
  <c r="I24" i="13"/>
  <c r="G24" i="13"/>
  <c r="Y23" i="13"/>
  <c r="AA23" i="13" s="1"/>
  <c r="AB23" i="13" s="1"/>
  <c r="S23" i="13"/>
  <c r="U23" i="13" s="1"/>
  <c r="M23" i="13"/>
  <c r="O23" i="13" s="1"/>
  <c r="G23" i="13"/>
  <c r="I23" i="13" s="1"/>
  <c r="AA22" i="13"/>
  <c r="AB22" i="13" s="1"/>
  <c r="Y22" i="13"/>
  <c r="R22" i="13"/>
  <c r="R25" i="13" s="1"/>
  <c r="R41" i="13" s="1"/>
  <c r="M22" i="13"/>
  <c r="O22" i="13" s="1"/>
  <c r="G22" i="13"/>
  <c r="I22" i="13" s="1"/>
  <c r="F22" i="13"/>
  <c r="Y21" i="13"/>
  <c r="AA21" i="13" s="1"/>
  <c r="S21" i="13"/>
  <c r="U21" i="13" s="1"/>
  <c r="M21" i="13"/>
  <c r="O21" i="13" s="1"/>
  <c r="G21" i="13"/>
  <c r="I21" i="13" s="1"/>
  <c r="AA20" i="13"/>
  <c r="AB20" i="13" s="1"/>
  <c r="Y20" i="13"/>
  <c r="U20" i="13"/>
  <c r="S20" i="13"/>
  <c r="O20" i="13"/>
  <c r="M20" i="13"/>
  <c r="I20" i="13"/>
  <c r="G20" i="13"/>
  <c r="Y19" i="13"/>
  <c r="AA19" i="13" s="1"/>
  <c r="AB19" i="13" s="1"/>
  <c r="W19" i="13"/>
  <c r="Q19" i="13"/>
  <c r="S19" i="13" s="1"/>
  <c r="U19" i="13" s="1"/>
  <c r="M19" i="13"/>
  <c r="O19" i="13" s="1"/>
  <c r="G19" i="13"/>
  <c r="I19" i="13" s="1"/>
  <c r="E19" i="13"/>
  <c r="E25" i="13" s="1"/>
  <c r="E41" i="13" s="1"/>
  <c r="V18" i="13"/>
  <c r="Y18" i="13" s="1"/>
  <c r="AA18" i="13" s="1"/>
  <c r="S18" i="13"/>
  <c r="U18" i="13" s="1"/>
  <c r="M18" i="13"/>
  <c r="O18" i="13" s="1"/>
  <c r="G18" i="13"/>
  <c r="I18" i="13" s="1"/>
  <c r="V17" i="13"/>
  <c r="Y17" i="13" s="1"/>
  <c r="AA17" i="13" s="1"/>
  <c r="AB17" i="13" s="1"/>
  <c r="S17" i="13"/>
  <c r="U17" i="13" s="1"/>
  <c r="P17" i="13"/>
  <c r="O17" i="13"/>
  <c r="M17" i="13"/>
  <c r="D17" i="13"/>
  <c r="V16" i="13"/>
  <c r="S16" i="13"/>
  <c r="U16" i="13" s="1"/>
  <c r="M16" i="13"/>
  <c r="O16" i="13" s="1"/>
  <c r="G16" i="13"/>
  <c r="I16" i="13" s="1"/>
  <c r="AA15" i="13"/>
  <c r="Y15" i="13"/>
  <c r="U15" i="13"/>
  <c r="T15" i="13"/>
  <c r="S15" i="13"/>
  <c r="R15" i="13"/>
  <c r="O15" i="13"/>
  <c r="O25" i="13" s="1"/>
  <c r="M15" i="13"/>
  <c r="F15" i="13"/>
  <c r="U25" i="13" l="1"/>
  <c r="U41" i="13" s="1"/>
  <c r="U42" i="13" s="1"/>
  <c r="O40" i="13"/>
  <c r="O41" i="13" s="1"/>
  <c r="O42" i="13" s="1"/>
  <c r="M40" i="13"/>
  <c r="G15" i="13"/>
  <c r="I15" i="13" s="1"/>
  <c r="F25" i="13"/>
  <c r="F41" i="13" s="1"/>
  <c r="AB39" i="13"/>
  <c r="AA25" i="13"/>
  <c r="AB15" i="13"/>
  <c r="V25" i="13"/>
  <c r="Y16" i="13"/>
  <c r="AA16" i="13" s="1"/>
  <c r="AB16" i="13" s="1"/>
  <c r="AB21" i="13"/>
  <c r="AB34" i="13"/>
  <c r="U40" i="13"/>
  <c r="G17" i="13"/>
  <c r="I17" i="13" s="1"/>
  <c r="D25" i="13"/>
  <c r="K41" i="13"/>
  <c r="D40" i="13"/>
  <c r="G40" i="13" s="1"/>
  <c r="AB32" i="13"/>
  <c r="V40" i="13"/>
  <c r="Y40" i="13" s="1"/>
  <c r="G30" i="13"/>
  <c r="I30" i="13" s="1"/>
  <c r="G34" i="13"/>
  <c r="I34" i="13" s="1"/>
  <c r="Y36" i="13"/>
  <c r="AA36" i="13" s="1"/>
  <c r="S22" i="13"/>
  <c r="U22" i="13" s="1"/>
  <c r="M25" i="13"/>
  <c r="Q25" i="13"/>
  <c r="Q41" i="13" s="1"/>
  <c r="P40" i="13"/>
  <c r="S40" i="13" s="1"/>
  <c r="G36" i="13"/>
  <c r="I36" i="13" s="1"/>
  <c r="I40" i="13" s="1"/>
  <c r="AB36" i="13" l="1"/>
  <c r="AA40" i="13"/>
  <c r="AB40" i="13" s="1"/>
  <c r="AB25" i="13"/>
  <c r="M41" i="13"/>
  <c r="V41" i="13"/>
  <c r="Y25" i="13"/>
  <c r="Y41" i="13" s="1"/>
  <c r="S25" i="13"/>
  <c r="S41" i="13" s="1"/>
  <c r="D41" i="13"/>
  <c r="G25" i="13"/>
  <c r="G41" i="13" s="1"/>
  <c r="P41" i="13"/>
  <c r="I25" i="13"/>
  <c r="I41" i="13" s="1"/>
  <c r="I42" i="13" s="1"/>
  <c r="AA41" i="13" l="1"/>
  <c r="AA42" i="13" l="1"/>
  <c r="AB42" i="13" s="1"/>
  <c r="AB41" i="13"/>
  <c r="Y68" i="12" l="1"/>
  <c r="Y73" i="12" s="1"/>
  <c r="Y55" i="12"/>
  <c r="S55" i="12"/>
  <c r="M55" i="12"/>
  <c r="G55" i="12"/>
  <c r="Y54" i="12"/>
  <c r="S54" i="12"/>
  <c r="M54" i="12"/>
  <c r="G54" i="12"/>
  <c r="Y53" i="12"/>
  <c r="S53" i="12"/>
  <c r="M53" i="12"/>
  <c r="G53" i="12"/>
  <c r="Y52" i="12"/>
  <c r="S52" i="12"/>
  <c r="M52" i="12"/>
  <c r="G52" i="12"/>
  <c r="Y51" i="12"/>
  <c r="S51" i="12"/>
  <c r="M51" i="12"/>
  <c r="G51" i="12"/>
  <c r="X41" i="12"/>
  <c r="T41" i="12"/>
  <c r="P41" i="12"/>
  <c r="L41" i="12"/>
  <c r="H41" i="12"/>
  <c r="D41" i="12"/>
  <c r="Z40" i="12"/>
  <c r="Y40" i="12"/>
  <c r="X40" i="12"/>
  <c r="W40" i="12"/>
  <c r="V40" i="12"/>
  <c r="T40" i="12"/>
  <c r="R40" i="12"/>
  <c r="Q40" i="12"/>
  <c r="P40" i="12"/>
  <c r="S40" i="12" s="1"/>
  <c r="N40" i="12"/>
  <c r="M40" i="12"/>
  <c r="L40" i="12"/>
  <c r="K40" i="12"/>
  <c r="J40" i="12"/>
  <c r="H40" i="12"/>
  <c r="F40" i="12"/>
  <c r="E40" i="12"/>
  <c r="D40" i="12"/>
  <c r="G40" i="12" s="1"/>
  <c r="Y39" i="12"/>
  <c r="AA39" i="12" s="1"/>
  <c r="S39" i="12"/>
  <c r="U39" i="12" s="1"/>
  <c r="M39" i="12"/>
  <c r="O39" i="12" s="1"/>
  <c r="G39" i="12"/>
  <c r="I39" i="12" s="1"/>
  <c r="AA38" i="12"/>
  <c r="AB38" i="12" s="1"/>
  <c r="Y38" i="12"/>
  <c r="S38" i="12"/>
  <c r="U38" i="12" s="1"/>
  <c r="O38" i="12"/>
  <c r="M38" i="12"/>
  <c r="G38" i="12"/>
  <c r="I38" i="12" s="1"/>
  <c r="AB37" i="12"/>
  <c r="AA37" i="12"/>
  <c r="Y37" i="12"/>
  <c r="S37" i="12"/>
  <c r="U37" i="12" s="1"/>
  <c r="O37" i="12"/>
  <c r="M37" i="12"/>
  <c r="G37" i="12"/>
  <c r="I37" i="12" s="1"/>
  <c r="Y36" i="12"/>
  <c r="AA36" i="12" s="1"/>
  <c r="U36" i="12"/>
  <c r="S36" i="12"/>
  <c r="M36" i="12"/>
  <c r="O36" i="12" s="1"/>
  <c r="I36" i="12"/>
  <c r="G36" i="12"/>
  <c r="Y35" i="12"/>
  <c r="AA35" i="12" s="1"/>
  <c r="AB35" i="12" s="1"/>
  <c r="U35" i="12"/>
  <c r="S35" i="12"/>
  <c r="M35" i="12"/>
  <c r="O35" i="12" s="1"/>
  <c r="I35" i="12"/>
  <c r="G35" i="12"/>
  <c r="AA34" i="12"/>
  <c r="AB34" i="12" s="1"/>
  <c r="Y34" i="12"/>
  <c r="S34" i="12"/>
  <c r="U34" i="12" s="1"/>
  <c r="O34" i="12"/>
  <c r="M34" i="12"/>
  <c r="G34" i="12"/>
  <c r="I34" i="12" s="1"/>
  <c r="AB33" i="12"/>
  <c r="AA33" i="12"/>
  <c r="Y33" i="12"/>
  <c r="S33" i="12"/>
  <c r="U33" i="12" s="1"/>
  <c r="O33" i="12"/>
  <c r="M33" i="12"/>
  <c r="G33" i="12"/>
  <c r="I33" i="12" s="1"/>
  <c r="Y32" i="12"/>
  <c r="AA32" i="12" s="1"/>
  <c r="AB32" i="12" s="1"/>
  <c r="U32" i="12"/>
  <c r="S32" i="12"/>
  <c r="M32" i="12"/>
  <c r="O32" i="12" s="1"/>
  <c r="I32" i="12"/>
  <c r="G32" i="12"/>
  <c r="Y31" i="12"/>
  <c r="AA31" i="12" s="1"/>
  <c r="S31" i="12"/>
  <c r="U31" i="12" s="1"/>
  <c r="M31" i="12"/>
  <c r="O31" i="12" s="1"/>
  <c r="G31" i="12"/>
  <c r="I31" i="12" s="1"/>
  <c r="AA30" i="12"/>
  <c r="AB30" i="12" s="1"/>
  <c r="Y30" i="12"/>
  <c r="S30" i="12"/>
  <c r="U30" i="12" s="1"/>
  <c r="O30" i="12"/>
  <c r="M30" i="12"/>
  <c r="G30" i="12"/>
  <c r="I30" i="12" s="1"/>
  <c r="Y29" i="12"/>
  <c r="AA29" i="12" s="1"/>
  <c r="AB29" i="12" s="1"/>
  <c r="S29" i="12"/>
  <c r="U29" i="12" s="1"/>
  <c r="M29" i="12"/>
  <c r="O29" i="12" s="1"/>
  <c r="G29" i="12"/>
  <c r="I29" i="12" s="1"/>
  <c r="Z25" i="12"/>
  <c r="Z41" i="12" s="1"/>
  <c r="Y25" i="12"/>
  <c r="Y41" i="12" s="1"/>
  <c r="X25" i="12"/>
  <c r="W25" i="12"/>
  <c r="W41" i="12" s="1"/>
  <c r="V25" i="12"/>
  <c r="V41" i="12" s="1"/>
  <c r="T25" i="12"/>
  <c r="R25" i="12"/>
  <c r="R41" i="12" s="1"/>
  <c r="Q25" i="12"/>
  <c r="Q41" i="12" s="1"/>
  <c r="P25" i="12"/>
  <c r="S25" i="12" s="1"/>
  <c r="S41" i="12" s="1"/>
  <c r="N25" i="12"/>
  <c r="N41" i="12" s="1"/>
  <c r="M25" i="12"/>
  <c r="M41" i="12" s="1"/>
  <c r="L25" i="12"/>
  <c r="K25" i="12"/>
  <c r="K41" i="12" s="1"/>
  <c r="J25" i="12"/>
  <c r="J41" i="12" s="1"/>
  <c r="H25" i="12"/>
  <c r="F25" i="12"/>
  <c r="F41" i="12" s="1"/>
  <c r="E25" i="12"/>
  <c r="G25" i="12" s="1"/>
  <c r="D25" i="12"/>
  <c r="Y24" i="12"/>
  <c r="AA24" i="12" s="1"/>
  <c r="S24" i="12"/>
  <c r="U24" i="12" s="1"/>
  <c r="M24" i="12"/>
  <c r="O24" i="12" s="1"/>
  <c r="G24" i="12"/>
  <c r="I24" i="12" s="1"/>
  <c r="AA23" i="12"/>
  <c r="AB23" i="12" s="1"/>
  <c r="Y23" i="12"/>
  <c r="S23" i="12"/>
  <c r="U23" i="12" s="1"/>
  <c r="O23" i="12"/>
  <c r="M23" i="12"/>
  <c r="Y22" i="12"/>
  <c r="AA22" i="12" s="1"/>
  <c r="AB22" i="12" s="1"/>
  <c r="U22" i="12"/>
  <c r="S22" i="12"/>
  <c r="M22" i="12"/>
  <c r="O22" i="12" s="1"/>
  <c r="I22" i="12"/>
  <c r="G22" i="12"/>
  <c r="AA21" i="12"/>
  <c r="AB21" i="12" s="1"/>
  <c r="Y21" i="12"/>
  <c r="S21" i="12"/>
  <c r="U21" i="12" s="1"/>
  <c r="O21" i="12"/>
  <c r="M21" i="12"/>
  <c r="Y20" i="12"/>
  <c r="AA20" i="12" s="1"/>
  <c r="U20" i="12"/>
  <c r="S20" i="12"/>
  <c r="M20" i="12"/>
  <c r="O20" i="12" s="1"/>
  <c r="I20" i="12"/>
  <c r="G20" i="12"/>
  <c r="AA19" i="12"/>
  <c r="AB19" i="12" s="1"/>
  <c r="Y19" i="12"/>
  <c r="S19" i="12"/>
  <c r="U19" i="12" s="1"/>
  <c r="O19" i="12"/>
  <c r="M19" i="12"/>
  <c r="G19" i="12"/>
  <c r="I19" i="12" s="1"/>
  <c r="AA18" i="12"/>
  <c r="Y18" i="12"/>
  <c r="S18" i="12"/>
  <c r="U18" i="12" s="1"/>
  <c r="O18" i="12"/>
  <c r="M18" i="12"/>
  <c r="G18" i="12"/>
  <c r="I18" i="12" s="1"/>
  <c r="AB17" i="12"/>
  <c r="AA17" i="12"/>
  <c r="Y17" i="12"/>
  <c r="S17" i="12"/>
  <c r="U17" i="12" s="1"/>
  <c r="O17" i="12"/>
  <c r="M17" i="12"/>
  <c r="G17" i="12"/>
  <c r="I17" i="12" s="1"/>
  <c r="Y16" i="12"/>
  <c r="AA16" i="12" s="1"/>
  <c r="AB16" i="12" s="1"/>
  <c r="U16" i="12"/>
  <c r="U25" i="12" s="1"/>
  <c r="S16" i="12"/>
  <c r="M16" i="12"/>
  <c r="O16" i="12" s="1"/>
  <c r="I16" i="12"/>
  <c r="G16" i="12"/>
  <c r="Y15" i="12"/>
  <c r="AA15" i="12" s="1"/>
  <c r="U15" i="12"/>
  <c r="S15" i="12"/>
  <c r="M15" i="12"/>
  <c r="O15" i="12" s="1"/>
  <c r="I15" i="12"/>
  <c r="G15" i="12"/>
  <c r="AA25" i="12" l="1"/>
  <c r="AB15" i="12"/>
  <c r="O25" i="12"/>
  <c r="O41" i="12" s="1"/>
  <c r="O42" i="12" s="1"/>
  <c r="U41" i="12"/>
  <c r="U42" i="12" s="1"/>
  <c r="G41" i="12"/>
  <c r="U40" i="12"/>
  <c r="I25" i="12"/>
  <c r="I40" i="12"/>
  <c r="AB36" i="12"/>
  <c r="AA40" i="12"/>
  <c r="AB20" i="12"/>
  <c r="AB24" i="12"/>
  <c r="AB31" i="12"/>
  <c r="O40" i="12"/>
  <c r="AB39" i="12"/>
  <c r="E41" i="12"/>
  <c r="I41" i="12" l="1"/>
  <c r="I42" i="12" s="1"/>
  <c r="AB40" i="12"/>
  <c r="AA41" i="12"/>
  <c r="AB25" i="12"/>
  <c r="AA42" i="12" l="1"/>
  <c r="AB42" i="12" s="1"/>
  <c r="AB41" i="12"/>
  <c r="Y73" i="11" l="1"/>
  <c r="Y68" i="11"/>
  <c r="Y55" i="11"/>
  <c r="S55" i="11"/>
  <c r="M55" i="11"/>
  <c r="G55" i="11"/>
  <c r="Y54" i="11"/>
  <c r="S54" i="11"/>
  <c r="M54" i="11"/>
  <c r="G54" i="11"/>
  <c r="Y53" i="11"/>
  <c r="S53" i="11"/>
  <c r="M53" i="11"/>
  <c r="G53" i="11"/>
  <c r="Y52" i="11"/>
  <c r="S52" i="11"/>
  <c r="M52" i="11"/>
  <c r="G52" i="11"/>
  <c r="X51" i="11"/>
  <c r="Y51" i="11" s="1"/>
  <c r="W51" i="11"/>
  <c r="V51" i="11"/>
  <c r="R51" i="11"/>
  <c r="S51" i="11" s="1"/>
  <c r="Q51" i="11"/>
  <c r="P51" i="11"/>
  <c r="L51" i="11"/>
  <c r="M51" i="11" s="1"/>
  <c r="K51" i="11"/>
  <c r="J51" i="11"/>
  <c r="F51" i="11"/>
  <c r="G51" i="11" s="1"/>
  <c r="E51" i="11"/>
  <c r="D51" i="11"/>
  <c r="X41" i="11"/>
  <c r="T41" i="11"/>
  <c r="P41" i="11"/>
  <c r="L41" i="11"/>
  <c r="H41" i="11"/>
  <c r="D41" i="11"/>
  <c r="Z40" i="11"/>
  <c r="Y40" i="11"/>
  <c r="X40" i="11"/>
  <c r="W40" i="11"/>
  <c r="V40" i="11"/>
  <c r="T40" i="11"/>
  <c r="R40" i="11"/>
  <c r="Q40" i="11"/>
  <c r="P40" i="11"/>
  <c r="S40" i="11" s="1"/>
  <c r="N40" i="11"/>
  <c r="M40" i="11"/>
  <c r="L40" i="11"/>
  <c r="K40" i="11"/>
  <c r="J40" i="11"/>
  <c r="H40" i="11"/>
  <c r="F40" i="11"/>
  <c r="E40" i="11"/>
  <c r="G40" i="11" s="1"/>
  <c r="D40" i="11"/>
  <c r="Y39" i="11"/>
  <c r="AA39" i="11" s="1"/>
  <c r="S39" i="11"/>
  <c r="U39" i="11" s="1"/>
  <c r="M39" i="11"/>
  <c r="O39" i="11" s="1"/>
  <c r="G39" i="11"/>
  <c r="I39" i="11" s="1"/>
  <c r="AA38" i="11"/>
  <c r="AB38" i="11" s="1"/>
  <c r="Y38" i="11"/>
  <c r="S38" i="11"/>
  <c r="U38" i="11" s="1"/>
  <c r="O38" i="11"/>
  <c r="M38" i="11"/>
  <c r="G38" i="11"/>
  <c r="I38" i="11" s="1"/>
  <c r="Y37" i="11"/>
  <c r="AA37" i="11" s="1"/>
  <c r="AB37" i="11" s="1"/>
  <c r="S37" i="11"/>
  <c r="U37" i="11" s="1"/>
  <c r="M37" i="11"/>
  <c r="O37" i="11" s="1"/>
  <c r="G37" i="11"/>
  <c r="I37" i="11" s="1"/>
  <c r="Y36" i="11"/>
  <c r="AA36" i="11" s="1"/>
  <c r="U36" i="11"/>
  <c r="S36" i="11"/>
  <c r="M36" i="11"/>
  <c r="O36" i="11" s="1"/>
  <c r="I36" i="11"/>
  <c r="I40" i="11" s="1"/>
  <c r="G36" i="11"/>
  <c r="Y35" i="11"/>
  <c r="AA35" i="11" s="1"/>
  <c r="S35" i="11"/>
  <c r="U35" i="11" s="1"/>
  <c r="M35" i="11"/>
  <c r="O35" i="11" s="1"/>
  <c r="G35" i="11"/>
  <c r="I35" i="11" s="1"/>
  <c r="AA34" i="11"/>
  <c r="AB34" i="11" s="1"/>
  <c r="Y34" i="11"/>
  <c r="S34" i="11"/>
  <c r="U34" i="11" s="1"/>
  <c r="O34" i="11"/>
  <c r="M34" i="11"/>
  <c r="G34" i="11"/>
  <c r="I34" i="11" s="1"/>
  <c r="Y33" i="11"/>
  <c r="AA33" i="11" s="1"/>
  <c r="AB33" i="11" s="1"/>
  <c r="S33" i="11"/>
  <c r="U33" i="11" s="1"/>
  <c r="M33" i="11"/>
  <c r="O33" i="11" s="1"/>
  <c r="G33" i="11"/>
  <c r="I33" i="11" s="1"/>
  <c r="Y32" i="11"/>
  <c r="AA32" i="11" s="1"/>
  <c r="AB32" i="11" s="1"/>
  <c r="U32" i="11"/>
  <c r="S32" i="11"/>
  <c r="M32" i="11"/>
  <c r="O32" i="11" s="1"/>
  <c r="I32" i="11"/>
  <c r="G32" i="11"/>
  <c r="Y31" i="11"/>
  <c r="AA31" i="11" s="1"/>
  <c r="S31" i="11"/>
  <c r="U31" i="11" s="1"/>
  <c r="M31" i="11"/>
  <c r="O31" i="11" s="1"/>
  <c r="G31" i="11"/>
  <c r="I31" i="11" s="1"/>
  <c r="AA30" i="11"/>
  <c r="AB30" i="11" s="1"/>
  <c r="Y30" i="11"/>
  <c r="S30" i="11"/>
  <c r="U30" i="11" s="1"/>
  <c r="O30" i="11"/>
  <c r="M30" i="11"/>
  <c r="G30" i="11"/>
  <c r="I30" i="11" s="1"/>
  <c r="Y29" i="11"/>
  <c r="AA29" i="11" s="1"/>
  <c r="AB29" i="11" s="1"/>
  <c r="S29" i="11"/>
  <c r="U29" i="11" s="1"/>
  <c r="M29" i="11"/>
  <c r="O29" i="11" s="1"/>
  <c r="G29" i="11"/>
  <c r="I29" i="11" s="1"/>
  <c r="Z25" i="11"/>
  <c r="Z41" i="11" s="1"/>
  <c r="Y25" i="11"/>
  <c r="Y41" i="11" s="1"/>
  <c r="X25" i="11"/>
  <c r="W25" i="11"/>
  <c r="W41" i="11" s="1"/>
  <c r="V25" i="11"/>
  <c r="V41" i="11" s="1"/>
  <c r="T25" i="11"/>
  <c r="R25" i="11"/>
  <c r="R41" i="11" s="1"/>
  <c r="Q25" i="11"/>
  <c r="Q41" i="11" s="1"/>
  <c r="P25" i="11"/>
  <c r="S25" i="11" s="1"/>
  <c r="S41" i="11" s="1"/>
  <c r="N25" i="11"/>
  <c r="N41" i="11" s="1"/>
  <c r="M25" i="11"/>
  <c r="M41" i="11" s="1"/>
  <c r="L25" i="11"/>
  <c r="K25" i="11"/>
  <c r="K41" i="11" s="1"/>
  <c r="J25" i="11"/>
  <c r="J41" i="11" s="1"/>
  <c r="H25" i="11"/>
  <c r="F25" i="11"/>
  <c r="F41" i="11" s="1"/>
  <c r="E25" i="11"/>
  <c r="G25" i="11" s="1"/>
  <c r="G41" i="11" s="1"/>
  <c r="D25" i="11"/>
  <c r="Y24" i="11"/>
  <c r="AA24" i="11" s="1"/>
  <c r="S24" i="11"/>
  <c r="U24" i="11" s="1"/>
  <c r="M24" i="11"/>
  <c r="O24" i="11" s="1"/>
  <c r="G24" i="11"/>
  <c r="I24" i="11" s="1"/>
  <c r="AA23" i="11"/>
  <c r="AB23" i="11" s="1"/>
  <c r="Y23" i="11"/>
  <c r="S23" i="11"/>
  <c r="U23" i="11" s="1"/>
  <c r="O23" i="11"/>
  <c r="M23" i="11"/>
  <c r="G23" i="11"/>
  <c r="I23" i="11" s="1"/>
  <c r="Y22" i="11"/>
  <c r="AA22" i="11" s="1"/>
  <c r="AB22" i="11" s="1"/>
  <c r="S22" i="11"/>
  <c r="U22" i="11" s="1"/>
  <c r="M22" i="11"/>
  <c r="O22" i="11" s="1"/>
  <c r="G22" i="11"/>
  <c r="I22" i="11" s="1"/>
  <c r="AA21" i="11"/>
  <c r="AB21" i="11" s="1"/>
  <c r="S21" i="11"/>
  <c r="U21" i="11" s="1"/>
  <c r="M21" i="11"/>
  <c r="O21" i="11" s="1"/>
  <c r="G21" i="11"/>
  <c r="I21" i="11" s="1"/>
  <c r="Y20" i="11"/>
  <c r="AA20" i="11" s="1"/>
  <c r="AB20" i="11" s="1"/>
  <c r="U20" i="11"/>
  <c r="S20" i="11"/>
  <c r="M20" i="11"/>
  <c r="O20" i="11" s="1"/>
  <c r="I20" i="11"/>
  <c r="G20" i="11"/>
  <c r="Y19" i="11"/>
  <c r="AA19" i="11" s="1"/>
  <c r="S19" i="11"/>
  <c r="U19" i="11" s="1"/>
  <c r="M19" i="11"/>
  <c r="O19" i="11" s="1"/>
  <c r="G19" i="11"/>
  <c r="I19" i="11" s="1"/>
  <c r="Y18" i="11"/>
  <c r="AA18" i="11" s="1"/>
  <c r="S18" i="11"/>
  <c r="U18" i="11" s="1"/>
  <c r="M18" i="11"/>
  <c r="O18" i="11" s="1"/>
  <c r="G18" i="11"/>
  <c r="I18" i="11" s="1"/>
  <c r="AA17" i="11"/>
  <c r="AB17" i="11" s="1"/>
  <c r="Y17" i="11"/>
  <c r="S17" i="11"/>
  <c r="U17" i="11" s="1"/>
  <c r="O17" i="11"/>
  <c r="M17" i="11"/>
  <c r="G17" i="11"/>
  <c r="I17" i="11" s="1"/>
  <c r="Y16" i="11"/>
  <c r="AA16" i="11" s="1"/>
  <c r="AB16" i="11" s="1"/>
  <c r="S16" i="11"/>
  <c r="U16" i="11" s="1"/>
  <c r="M16" i="11"/>
  <c r="O16" i="11" s="1"/>
  <c r="G16" i="11"/>
  <c r="I16" i="11" s="1"/>
  <c r="Y15" i="11"/>
  <c r="AA15" i="11" s="1"/>
  <c r="U15" i="11"/>
  <c r="S15" i="11"/>
  <c r="M15" i="11"/>
  <c r="O15" i="11" s="1"/>
  <c r="I15" i="11"/>
  <c r="I25" i="11" s="1"/>
  <c r="I41" i="11" s="1"/>
  <c r="I42" i="11" s="1"/>
  <c r="G15" i="11"/>
  <c r="AB15" i="11" l="1"/>
  <c r="AA25" i="11"/>
  <c r="AB36" i="11"/>
  <c r="AA40" i="11"/>
  <c r="AB40" i="11" s="1"/>
  <c r="O25" i="11"/>
  <c r="O40" i="11"/>
  <c r="AB19" i="11"/>
  <c r="AB24" i="11"/>
  <c r="AB31" i="11"/>
  <c r="AB35" i="11"/>
  <c r="AB39" i="11"/>
  <c r="U25" i="11"/>
  <c r="U41" i="11" s="1"/>
  <c r="U42" i="11" s="1"/>
  <c r="U40" i="11"/>
  <c r="E41" i="11"/>
  <c r="AA41" i="11" l="1"/>
  <c r="AB25" i="11"/>
  <c r="O41" i="11"/>
  <c r="O42" i="11" s="1"/>
  <c r="AA42" i="11" l="1"/>
  <c r="AB42" i="11" s="1"/>
  <c r="AB41" i="11"/>
  <c r="Y76" i="10" l="1"/>
  <c r="Y71" i="10"/>
  <c r="Y64" i="10"/>
  <c r="Y55" i="10"/>
  <c r="S55" i="10"/>
  <c r="M55" i="10"/>
  <c r="G55" i="10"/>
  <c r="Y54" i="10"/>
  <c r="S54" i="10"/>
  <c r="M54" i="10"/>
  <c r="G54" i="10"/>
  <c r="Y53" i="10"/>
  <c r="S53" i="10"/>
  <c r="M53" i="10"/>
  <c r="G53" i="10"/>
  <c r="Y52" i="10"/>
  <c r="S52" i="10"/>
  <c r="M52" i="10"/>
  <c r="G52" i="10"/>
  <c r="Y51" i="10"/>
  <c r="X51" i="10"/>
  <c r="W51" i="10"/>
  <c r="V51" i="10"/>
  <c r="S51" i="10"/>
  <c r="R51" i="10"/>
  <c r="Q51" i="10"/>
  <c r="P51" i="10"/>
  <c r="M51" i="10"/>
  <c r="L51" i="10"/>
  <c r="K51" i="10"/>
  <c r="J51" i="10"/>
  <c r="G51" i="10"/>
  <c r="F51" i="10"/>
  <c r="E51" i="10"/>
  <c r="D51" i="10"/>
  <c r="E41" i="10"/>
  <c r="Z40" i="10"/>
  <c r="X40" i="10"/>
  <c r="W40" i="10"/>
  <c r="V40" i="10"/>
  <c r="Y40" i="10" s="1"/>
  <c r="T40" i="10"/>
  <c r="R40" i="10"/>
  <c r="P40" i="10"/>
  <c r="N40" i="10"/>
  <c r="L40" i="10"/>
  <c r="K40" i="10"/>
  <c r="J40" i="10"/>
  <c r="M40" i="10" s="1"/>
  <c r="H40" i="10"/>
  <c r="F40" i="10"/>
  <c r="E40" i="10"/>
  <c r="AA39" i="10"/>
  <c r="AB39" i="10" s="1"/>
  <c r="Y39" i="10"/>
  <c r="S39" i="10"/>
  <c r="U39" i="10" s="1"/>
  <c r="O39" i="10"/>
  <c r="M39" i="10"/>
  <c r="G39" i="10"/>
  <c r="I39" i="10" s="1"/>
  <c r="Y38" i="10"/>
  <c r="AA38" i="10" s="1"/>
  <c r="S38" i="10"/>
  <c r="U38" i="10" s="1"/>
  <c r="M38" i="10"/>
  <c r="O38" i="10" s="1"/>
  <c r="G38" i="10"/>
  <c r="I38" i="10" s="1"/>
  <c r="AA37" i="10"/>
  <c r="AB37" i="10" s="1"/>
  <c r="Y37" i="10"/>
  <c r="U37" i="10"/>
  <c r="S37" i="10"/>
  <c r="O37" i="10"/>
  <c r="M37" i="10"/>
  <c r="I37" i="10"/>
  <c r="G37" i="10"/>
  <c r="Y36" i="10"/>
  <c r="AA36" i="10" s="1"/>
  <c r="S36" i="10"/>
  <c r="U36" i="10" s="1"/>
  <c r="M36" i="10"/>
  <c r="O36" i="10" s="1"/>
  <c r="G36" i="10"/>
  <c r="I36" i="10" s="1"/>
  <c r="I40" i="10" s="1"/>
  <c r="AA35" i="10"/>
  <c r="AB35" i="10" s="1"/>
  <c r="Y35" i="10"/>
  <c r="U35" i="10"/>
  <c r="S35" i="10"/>
  <c r="O35" i="10"/>
  <c r="M35" i="10"/>
  <c r="I35" i="10"/>
  <c r="G35" i="10"/>
  <c r="Y34" i="10"/>
  <c r="AA34" i="10" s="1"/>
  <c r="S34" i="10"/>
  <c r="U34" i="10" s="1"/>
  <c r="M34" i="10"/>
  <c r="O34" i="10" s="1"/>
  <c r="G34" i="10"/>
  <c r="I34" i="10" s="1"/>
  <c r="AA33" i="10"/>
  <c r="Y33" i="10"/>
  <c r="Q33" i="10"/>
  <c r="Q40" i="10" s="1"/>
  <c r="Q41" i="10" s="1"/>
  <c r="M33" i="10"/>
  <c r="O33" i="10" s="1"/>
  <c r="G33" i="10"/>
  <c r="I33" i="10" s="1"/>
  <c r="D33" i="10"/>
  <c r="D40" i="10" s="1"/>
  <c r="G40" i="10" s="1"/>
  <c r="Y32" i="10"/>
  <c r="AA32" i="10" s="1"/>
  <c r="AB32" i="10" s="1"/>
  <c r="S32" i="10"/>
  <c r="U32" i="10" s="1"/>
  <c r="M32" i="10"/>
  <c r="O32" i="10" s="1"/>
  <c r="G32" i="10"/>
  <c r="I32" i="10" s="1"/>
  <c r="AA31" i="10"/>
  <c r="AB31" i="10" s="1"/>
  <c r="Y31" i="10"/>
  <c r="U31" i="10"/>
  <c r="S31" i="10"/>
  <c r="O31" i="10"/>
  <c r="M31" i="10"/>
  <c r="I31" i="10"/>
  <c r="G31" i="10"/>
  <c r="Y30" i="10"/>
  <c r="AA30" i="10" s="1"/>
  <c r="AB30" i="10" s="1"/>
  <c r="S30" i="10"/>
  <c r="U30" i="10" s="1"/>
  <c r="M30" i="10"/>
  <c r="O30" i="10" s="1"/>
  <c r="G30" i="10"/>
  <c r="I30" i="10" s="1"/>
  <c r="AA29" i="10"/>
  <c r="AB29" i="10" s="1"/>
  <c r="Y29" i="10"/>
  <c r="U29" i="10"/>
  <c r="S29" i="10"/>
  <c r="O29" i="10"/>
  <c r="M29" i="10"/>
  <c r="I29" i="10"/>
  <c r="G29" i="10"/>
  <c r="Z25" i="10"/>
  <c r="Z41" i="10" s="1"/>
  <c r="X25" i="10"/>
  <c r="X41" i="10" s="1"/>
  <c r="W25" i="10"/>
  <c r="W41" i="10" s="1"/>
  <c r="V25" i="10"/>
  <c r="V41" i="10" s="1"/>
  <c r="T25" i="10"/>
  <c r="T41" i="10" s="1"/>
  <c r="R25" i="10"/>
  <c r="R41" i="10" s="1"/>
  <c r="Q25" i="10"/>
  <c r="P25" i="10"/>
  <c r="P41" i="10" s="1"/>
  <c r="N25" i="10"/>
  <c r="N41" i="10" s="1"/>
  <c r="L25" i="10"/>
  <c r="L41" i="10" s="1"/>
  <c r="K25" i="10"/>
  <c r="K41" i="10" s="1"/>
  <c r="J25" i="10"/>
  <c r="J41" i="10" s="1"/>
  <c r="H25" i="10"/>
  <c r="H41" i="10" s="1"/>
  <c r="F25" i="10"/>
  <c r="F41" i="10" s="1"/>
  <c r="E25" i="10"/>
  <c r="D25" i="10"/>
  <c r="D41" i="10" s="1"/>
  <c r="AA24" i="10"/>
  <c r="AB24" i="10" s="1"/>
  <c r="Y24" i="10"/>
  <c r="U24" i="10"/>
  <c r="S24" i="10"/>
  <c r="O24" i="10"/>
  <c r="M24" i="10"/>
  <c r="I24" i="10"/>
  <c r="G24" i="10"/>
  <c r="Y23" i="10"/>
  <c r="AA23" i="10" s="1"/>
  <c r="AB23" i="10" s="1"/>
  <c r="S23" i="10"/>
  <c r="U23" i="10" s="1"/>
  <c r="M23" i="10"/>
  <c r="O23" i="10" s="1"/>
  <c r="G23" i="10"/>
  <c r="I23" i="10" s="1"/>
  <c r="AA22" i="10"/>
  <c r="AB22" i="10" s="1"/>
  <c r="Y22" i="10"/>
  <c r="U22" i="10"/>
  <c r="S22" i="10"/>
  <c r="O22" i="10"/>
  <c r="M22" i="10"/>
  <c r="I22" i="10"/>
  <c r="G22" i="10"/>
  <c r="Y21" i="10"/>
  <c r="AA21" i="10" s="1"/>
  <c r="AB21" i="10" s="1"/>
  <c r="S21" i="10"/>
  <c r="U21" i="10" s="1"/>
  <c r="M21" i="10"/>
  <c r="O21" i="10" s="1"/>
  <c r="G21" i="10"/>
  <c r="I21" i="10" s="1"/>
  <c r="Y20" i="10"/>
  <c r="AA20" i="10" s="1"/>
  <c r="AB20" i="10" s="1"/>
  <c r="U20" i="10"/>
  <c r="S20" i="10"/>
  <c r="O20" i="10"/>
  <c r="M20" i="10"/>
  <c r="I20" i="10"/>
  <c r="G20" i="10"/>
  <c r="Y19" i="10"/>
  <c r="AA19" i="10" s="1"/>
  <c r="S19" i="10"/>
  <c r="U19" i="10" s="1"/>
  <c r="M19" i="10"/>
  <c r="O19" i="10" s="1"/>
  <c r="G19" i="10"/>
  <c r="I19" i="10" s="1"/>
  <c r="Y18" i="10"/>
  <c r="AA18" i="10" s="1"/>
  <c r="S18" i="10"/>
  <c r="U18" i="10" s="1"/>
  <c r="M18" i="10"/>
  <c r="O18" i="10" s="1"/>
  <c r="G18" i="10"/>
  <c r="I18" i="10" s="1"/>
  <c r="AA17" i="10"/>
  <c r="AB17" i="10" s="1"/>
  <c r="Y17" i="10"/>
  <c r="U17" i="10"/>
  <c r="S17" i="10"/>
  <c r="O17" i="10"/>
  <c r="M17" i="10"/>
  <c r="I17" i="10"/>
  <c r="G17" i="10"/>
  <c r="Y16" i="10"/>
  <c r="AA16" i="10" s="1"/>
  <c r="S16" i="10"/>
  <c r="U16" i="10" s="1"/>
  <c r="M16" i="10"/>
  <c r="O16" i="10" s="1"/>
  <c r="G16" i="10"/>
  <c r="I16" i="10" s="1"/>
  <c r="AA15" i="10"/>
  <c r="Y15" i="10"/>
  <c r="U15" i="10"/>
  <c r="U25" i="10" s="1"/>
  <c r="S15" i="10"/>
  <c r="O15" i="10"/>
  <c r="M15" i="10"/>
  <c r="I15" i="10"/>
  <c r="I25" i="10" s="1"/>
  <c r="I41" i="10" s="1"/>
  <c r="I42" i="10" s="1"/>
  <c r="G15" i="10"/>
  <c r="O40" i="10" l="1"/>
  <c r="S40" i="10"/>
  <c r="O25" i="10"/>
  <c r="O41" i="10" s="1"/>
  <c r="O42" i="10" s="1"/>
  <c r="AA25" i="10"/>
  <c r="AB16" i="10"/>
  <c r="AB19" i="10"/>
  <c r="U40" i="10"/>
  <c r="U41" i="10" s="1"/>
  <c r="U42" i="10" s="1"/>
  <c r="AB33" i="10"/>
  <c r="AB34" i="10"/>
  <c r="AB36" i="10"/>
  <c r="AA40" i="10"/>
  <c r="AB40" i="10" s="1"/>
  <c r="AB38" i="10"/>
  <c r="M25" i="10"/>
  <c r="M41" i="10" s="1"/>
  <c r="Y25" i="10"/>
  <c r="Y41" i="10" s="1"/>
  <c r="AB15" i="10"/>
  <c r="G25" i="10"/>
  <c r="G41" i="10" s="1"/>
  <c r="S25" i="10"/>
  <c r="S33" i="10"/>
  <c r="U33" i="10" s="1"/>
  <c r="S41" i="10" l="1"/>
  <c r="AB25" i="10"/>
  <c r="AA41" i="10"/>
  <c r="AA42" i="10" l="1"/>
  <c r="AB42" i="10" s="1"/>
  <c r="AB41" i="10"/>
  <c r="Y70" i="9" l="1"/>
  <c r="Y66" i="9"/>
  <c r="Y75" i="9" s="1"/>
  <c r="Y55" i="9"/>
  <c r="G55" i="9"/>
  <c r="Y54" i="9"/>
  <c r="G54" i="9"/>
  <c r="Y53" i="9"/>
  <c r="G53" i="9"/>
  <c r="Y52" i="9"/>
  <c r="E52" i="9"/>
  <c r="G52" i="9" s="1"/>
  <c r="D52" i="9"/>
  <c r="Y51" i="9"/>
  <c r="S51" i="9"/>
  <c r="M51" i="9"/>
  <c r="G51" i="9"/>
  <c r="W41" i="9"/>
  <c r="K41" i="9"/>
  <c r="Z40" i="9"/>
  <c r="X40" i="9"/>
  <c r="T40" i="9"/>
  <c r="N40" i="9"/>
  <c r="L40" i="9"/>
  <c r="M40" i="9" s="1"/>
  <c r="K40" i="9"/>
  <c r="J40" i="9"/>
  <c r="H40" i="9"/>
  <c r="Y39" i="9"/>
  <c r="AA39" i="9" s="1"/>
  <c r="U39" i="9"/>
  <c r="S39" i="9"/>
  <c r="R39" i="9"/>
  <c r="M39" i="9"/>
  <c r="O39" i="9" s="1"/>
  <c r="E39" i="9"/>
  <c r="G39" i="9" s="1"/>
  <c r="I39" i="9" s="1"/>
  <c r="AB38" i="9"/>
  <c r="AA38" i="9"/>
  <c r="Y38" i="9"/>
  <c r="S38" i="9"/>
  <c r="U38" i="9" s="1"/>
  <c r="P38" i="9"/>
  <c r="M38" i="9"/>
  <c r="O38" i="9" s="1"/>
  <c r="I38" i="9"/>
  <c r="G38" i="9"/>
  <c r="D38" i="9"/>
  <c r="AA37" i="9"/>
  <c r="Y37" i="9"/>
  <c r="S37" i="9"/>
  <c r="U37" i="9" s="1"/>
  <c r="O37" i="9"/>
  <c r="M37" i="9"/>
  <c r="G37" i="9"/>
  <c r="I37" i="9" s="1"/>
  <c r="AA36" i="9"/>
  <c r="Y36" i="9"/>
  <c r="Q36" i="9"/>
  <c r="M36" i="9"/>
  <c r="O36" i="9" s="1"/>
  <c r="G36" i="9"/>
  <c r="I36" i="9" s="1"/>
  <c r="E36" i="9"/>
  <c r="AA35" i="9"/>
  <c r="AB35" i="9" s="1"/>
  <c r="Y35" i="9"/>
  <c r="V35" i="9"/>
  <c r="Q35" i="9"/>
  <c r="S35" i="9" s="1"/>
  <c r="U35" i="9" s="1"/>
  <c r="M35" i="9"/>
  <c r="O35" i="9" s="1"/>
  <c r="G35" i="9"/>
  <c r="I35" i="9" s="1"/>
  <c r="E35" i="9"/>
  <c r="Y34" i="9"/>
  <c r="AA34" i="9" s="1"/>
  <c r="AB34" i="9" s="1"/>
  <c r="P34" i="9"/>
  <c r="O34" i="9"/>
  <c r="M34" i="9"/>
  <c r="E34" i="9"/>
  <c r="E33" i="9" s="1"/>
  <c r="G33" i="9" s="1"/>
  <c r="I33" i="9" s="1"/>
  <c r="Y33" i="9"/>
  <c r="AA33" i="9" s="1"/>
  <c r="AB33" i="9" s="1"/>
  <c r="W33" i="9"/>
  <c r="W40" i="9" s="1"/>
  <c r="V33" i="9"/>
  <c r="V40" i="9" s="1"/>
  <c r="Y40" i="9" s="1"/>
  <c r="Q33" i="9"/>
  <c r="M33" i="9"/>
  <c r="O33" i="9" s="1"/>
  <c r="AA32" i="9"/>
  <c r="AB32" i="9" s="1"/>
  <c r="Y32" i="9"/>
  <c r="R32" i="9"/>
  <c r="S32" i="9" s="1"/>
  <c r="U32" i="9" s="1"/>
  <c r="M32" i="9"/>
  <c r="O32" i="9" s="1"/>
  <c r="G32" i="9"/>
  <c r="I32" i="9" s="1"/>
  <c r="F32" i="9"/>
  <c r="F40" i="9" s="1"/>
  <c r="AA31" i="9"/>
  <c r="AB31" i="9" s="1"/>
  <c r="Y31" i="9"/>
  <c r="P31" i="9"/>
  <c r="S31" i="9" s="1"/>
  <c r="U31" i="9" s="1"/>
  <c r="O31" i="9"/>
  <c r="M31" i="9"/>
  <c r="D31" i="9"/>
  <c r="D40" i="9" s="1"/>
  <c r="Y30" i="9"/>
  <c r="AA30" i="9" s="1"/>
  <c r="U30" i="9"/>
  <c r="R30" i="9"/>
  <c r="S30" i="9" s="1"/>
  <c r="M30" i="9"/>
  <c r="O30" i="9" s="1"/>
  <c r="G30" i="9"/>
  <c r="I30" i="9" s="1"/>
  <c r="AA29" i="9"/>
  <c r="AB29" i="9" s="1"/>
  <c r="Y29" i="9"/>
  <c r="S29" i="9"/>
  <c r="U29" i="9" s="1"/>
  <c r="O29" i="9"/>
  <c r="M29" i="9"/>
  <c r="G29" i="9"/>
  <c r="I29" i="9" s="1"/>
  <c r="Z25" i="9"/>
  <c r="Z41" i="9" s="1"/>
  <c r="X25" i="9"/>
  <c r="X41" i="9" s="1"/>
  <c r="W25" i="9"/>
  <c r="V25" i="9"/>
  <c r="T25" i="9"/>
  <c r="T41" i="9" s="1"/>
  <c r="R25" i="9"/>
  <c r="P25" i="9"/>
  <c r="N25" i="9"/>
  <c r="N41" i="9" s="1"/>
  <c r="M25" i="9"/>
  <c r="M41" i="9" s="1"/>
  <c r="L25" i="9"/>
  <c r="L41" i="9" s="1"/>
  <c r="K25" i="9"/>
  <c r="J25" i="9"/>
  <c r="J41" i="9" s="1"/>
  <c r="H25" i="9"/>
  <c r="F25" i="9"/>
  <c r="D25" i="9"/>
  <c r="Y24" i="9"/>
  <c r="AA24" i="9" s="1"/>
  <c r="U24" i="9"/>
  <c r="S24" i="9"/>
  <c r="M24" i="9"/>
  <c r="O24" i="9" s="1"/>
  <c r="I24" i="9"/>
  <c r="G24" i="9"/>
  <c r="Y23" i="9"/>
  <c r="AA23" i="9" s="1"/>
  <c r="S23" i="9"/>
  <c r="U23" i="9" s="1"/>
  <c r="M23" i="9"/>
  <c r="O23" i="9" s="1"/>
  <c r="G23" i="9"/>
  <c r="I23" i="9" s="1"/>
  <c r="AA22" i="9"/>
  <c r="AB22" i="9" s="1"/>
  <c r="Y22" i="9"/>
  <c r="S22" i="9"/>
  <c r="U22" i="9" s="1"/>
  <c r="O22" i="9"/>
  <c r="M22" i="9"/>
  <c r="G22" i="9"/>
  <c r="I22" i="9" s="1"/>
  <c r="Y21" i="9"/>
  <c r="AA21" i="9" s="1"/>
  <c r="S21" i="9"/>
  <c r="U21" i="9" s="1"/>
  <c r="M21" i="9"/>
  <c r="O21" i="9" s="1"/>
  <c r="AB21" i="9" s="1"/>
  <c r="I21" i="9"/>
  <c r="Y20" i="9"/>
  <c r="AA20" i="9" s="1"/>
  <c r="AB20" i="9" s="1"/>
  <c r="U20" i="9"/>
  <c r="S20" i="9"/>
  <c r="M20" i="9"/>
  <c r="O20" i="9" s="1"/>
  <c r="G20" i="9"/>
  <c r="I20" i="9" s="1"/>
  <c r="Y19" i="9"/>
  <c r="AA19" i="9" s="1"/>
  <c r="Q19" i="9"/>
  <c r="S19" i="9" s="1"/>
  <c r="U19" i="9" s="1"/>
  <c r="M19" i="9"/>
  <c r="O19" i="9" s="1"/>
  <c r="E19" i="9"/>
  <c r="E25" i="9" s="1"/>
  <c r="AA18" i="9"/>
  <c r="Y18" i="9"/>
  <c r="S18" i="9"/>
  <c r="U18" i="9" s="1"/>
  <c r="O18" i="9"/>
  <c r="M18" i="9"/>
  <c r="G18" i="9"/>
  <c r="I18" i="9" s="1"/>
  <c r="Y17" i="9"/>
  <c r="AA17" i="9" s="1"/>
  <c r="AB17" i="9" s="1"/>
  <c r="S17" i="9"/>
  <c r="U17" i="9" s="1"/>
  <c r="M17" i="9"/>
  <c r="O17" i="9" s="1"/>
  <c r="G17" i="9"/>
  <c r="I17" i="9" s="1"/>
  <c r="AA16" i="9"/>
  <c r="Y16" i="9"/>
  <c r="U16" i="9"/>
  <c r="S16" i="9"/>
  <c r="O16" i="9"/>
  <c r="M16" i="9"/>
  <c r="I16" i="9"/>
  <c r="G16" i="9"/>
  <c r="AB15" i="9"/>
  <c r="AA15" i="9"/>
  <c r="U15" i="9"/>
  <c r="M15" i="9"/>
  <c r="O15" i="9" s="1"/>
  <c r="I15" i="9"/>
  <c r="G15" i="9"/>
  <c r="I40" i="9" l="1"/>
  <c r="AB23" i="9"/>
  <c r="U25" i="9"/>
  <c r="AB19" i="9"/>
  <c r="AB16" i="9"/>
  <c r="G25" i="9"/>
  <c r="D41" i="9"/>
  <c r="O40" i="9"/>
  <c r="AA40" i="9"/>
  <c r="O25" i="9"/>
  <c r="G19" i="9"/>
  <c r="I19" i="9" s="1"/>
  <c r="I25" i="9" s="1"/>
  <c r="I41" i="9" s="1"/>
  <c r="I42" i="9" s="1"/>
  <c r="AB30" i="9"/>
  <c r="P33" i="9"/>
  <c r="S34" i="9"/>
  <c r="U34" i="9" s="1"/>
  <c r="Q40" i="9"/>
  <c r="AB36" i="9"/>
  <c r="F41" i="9"/>
  <c r="Y25" i="9"/>
  <c r="Y41" i="9" s="1"/>
  <c r="G34" i="9"/>
  <c r="I34" i="9" s="1"/>
  <c r="S36" i="9"/>
  <c r="U36" i="9" s="1"/>
  <c r="AB39" i="9"/>
  <c r="AA25" i="9"/>
  <c r="AB24" i="9"/>
  <c r="H41" i="9"/>
  <c r="Q25" i="9"/>
  <c r="Q41" i="9" s="1"/>
  <c r="V41" i="9"/>
  <c r="G31" i="9"/>
  <c r="I31" i="9" s="1"/>
  <c r="AB37" i="9"/>
  <c r="R40" i="9"/>
  <c r="R41" i="9" s="1"/>
  <c r="E40" i="9"/>
  <c r="E41" i="9" s="1"/>
  <c r="AA41" i="9" l="1"/>
  <c r="AB25" i="9"/>
  <c r="G40" i="9"/>
  <c r="G41" i="9" s="1"/>
  <c r="S25" i="9"/>
  <c r="O41" i="9"/>
  <c r="O42" i="9" s="1"/>
  <c r="P40" i="9"/>
  <c r="S33" i="9"/>
  <c r="U33" i="9" s="1"/>
  <c r="U40" i="9" s="1"/>
  <c r="U41" i="9" s="1"/>
  <c r="U42" i="9" s="1"/>
  <c r="AB40" i="9"/>
  <c r="S40" i="9" l="1"/>
  <c r="P41" i="9"/>
  <c r="S41" i="9"/>
  <c r="AA42" i="9"/>
  <c r="AB42" i="9" s="1"/>
  <c r="AB41" i="9"/>
  <c r="S54" i="8" l="1"/>
  <c r="V54" i="8" s="1"/>
  <c r="Y54" i="8" s="1"/>
  <c r="M54" i="8"/>
  <c r="G54" i="8"/>
  <c r="S53" i="8"/>
  <c r="V53" i="8" s="1"/>
  <c r="Y53" i="8" s="1"/>
  <c r="M53" i="8"/>
  <c r="G53" i="8"/>
  <c r="V52" i="8"/>
  <c r="Y52" i="8" s="1"/>
  <c r="S52" i="8"/>
  <c r="M52" i="8"/>
  <c r="G52" i="8"/>
  <c r="S51" i="8"/>
  <c r="V51" i="8" s="1"/>
  <c r="Y51" i="8" s="1"/>
  <c r="M51" i="8"/>
  <c r="G51" i="8"/>
  <c r="Y50" i="8"/>
  <c r="S50" i="8"/>
  <c r="M50" i="8"/>
  <c r="G50" i="8"/>
  <c r="F50" i="8"/>
  <c r="E50" i="8"/>
  <c r="D50" i="8"/>
  <c r="Z39" i="8"/>
  <c r="X39" i="8"/>
  <c r="W39" i="8"/>
  <c r="V39" i="8"/>
  <c r="Y39" i="8" s="1"/>
  <c r="T39" i="8"/>
  <c r="R39" i="8"/>
  <c r="S39" i="8" s="1"/>
  <c r="Q39" i="8"/>
  <c r="P39" i="8"/>
  <c r="N39" i="8"/>
  <c r="L39" i="8"/>
  <c r="K39" i="8"/>
  <c r="J39" i="8"/>
  <c r="M39" i="8" s="1"/>
  <c r="H39" i="8"/>
  <c r="F39" i="8"/>
  <c r="G39" i="8" s="1"/>
  <c r="E39" i="8"/>
  <c r="D39" i="8"/>
  <c r="AA38" i="8"/>
  <c r="AB38" i="8" s="1"/>
  <c r="Y38" i="8"/>
  <c r="S38" i="8"/>
  <c r="U38" i="8" s="1"/>
  <c r="O38" i="8"/>
  <c r="M38" i="8"/>
  <c r="G38" i="8"/>
  <c r="I38" i="8" s="1"/>
  <c r="AB37" i="8"/>
  <c r="AA37" i="8"/>
  <c r="Y37" i="8"/>
  <c r="S37" i="8"/>
  <c r="U37" i="8" s="1"/>
  <c r="O37" i="8"/>
  <c r="M37" i="8"/>
  <c r="G37" i="8"/>
  <c r="I37" i="8" s="1"/>
  <c r="Y36" i="8"/>
  <c r="AA36" i="8" s="1"/>
  <c r="U36" i="8"/>
  <c r="S36" i="8"/>
  <c r="M36" i="8"/>
  <c r="O36" i="8" s="1"/>
  <c r="I36" i="8"/>
  <c r="G36" i="8"/>
  <c r="Y35" i="8"/>
  <c r="AA35" i="8" s="1"/>
  <c r="U35" i="8"/>
  <c r="U39" i="8" s="1"/>
  <c r="S35" i="8"/>
  <c r="M35" i="8"/>
  <c r="O35" i="8" s="1"/>
  <c r="I35" i="8"/>
  <c r="G35" i="8"/>
  <c r="AA34" i="8"/>
  <c r="AB34" i="8" s="1"/>
  <c r="Y34" i="8"/>
  <c r="S34" i="8"/>
  <c r="U34" i="8" s="1"/>
  <c r="O34" i="8"/>
  <c r="M34" i="8"/>
  <c r="G34" i="8"/>
  <c r="I34" i="8" s="1"/>
  <c r="AB33" i="8"/>
  <c r="AA33" i="8"/>
  <c r="Y33" i="8"/>
  <c r="S33" i="8"/>
  <c r="U33" i="8" s="1"/>
  <c r="O33" i="8"/>
  <c r="M33" i="8"/>
  <c r="G33" i="8"/>
  <c r="I33" i="8" s="1"/>
  <c r="Y32" i="8"/>
  <c r="AA32" i="8" s="1"/>
  <c r="AB32" i="8" s="1"/>
  <c r="U32" i="8"/>
  <c r="S32" i="8"/>
  <c r="M32" i="8"/>
  <c r="O32" i="8" s="1"/>
  <c r="I32" i="8"/>
  <c r="G32" i="8"/>
  <c r="Y31" i="8"/>
  <c r="AA31" i="8" s="1"/>
  <c r="AB31" i="8" s="1"/>
  <c r="U31" i="8"/>
  <c r="S31" i="8"/>
  <c r="M31" i="8"/>
  <c r="O31" i="8" s="1"/>
  <c r="I31" i="8"/>
  <c r="G31" i="8"/>
  <c r="Y30" i="8"/>
  <c r="U30" i="8"/>
  <c r="S30" i="8"/>
  <c r="M30" i="8"/>
  <c r="O30" i="8" s="1"/>
  <c r="AB30" i="8" s="1"/>
  <c r="I30" i="8"/>
  <c r="G30" i="8"/>
  <c r="AA29" i="8"/>
  <c r="AB29" i="8" s="1"/>
  <c r="Y29" i="8"/>
  <c r="S29" i="8"/>
  <c r="U29" i="8" s="1"/>
  <c r="O29" i="8"/>
  <c r="M29" i="8"/>
  <c r="G29" i="8"/>
  <c r="I29" i="8" s="1"/>
  <c r="AB28" i="8"/>
  <c r="AA28" i="8"/>
  <c r="Y28" i="8"/>
  <c r="S28" i="8"/>
  <c r="U28" i="8" s="1"/>
  <c r="O28" i="8"/>
  <c r="M28" i="8"/>
  <c r="G28" i="8"/>
  <c r="I28" i="8" s="1"/>
  <c r="Z24" i="8"/>
  <c r="Z40" i="8" s="1"/>
  <c r="Y24" i="8"/>
  <c r="X24" i="8"/>
  <c r="X40" i="8" s="1"/>
  <c r="W24" i="8"/>
  <c r="W40" i="8" s="1"/>
  <c r="V24" i="8"/>
  <c r="V40" i="8" s="1"/>
  <c r="T24" i="8"/>
  <c r="T40" i="8" s="1"/>
  <c r="R24" i="8"/>
  <c r="R40" i="8" s="1"/>
  <c r="Q24" i="8"/>
  <c r="Q40" i="8" s="1"/>
  <c r="P24" i="8"/>
  <c r="P40" i="8" s="1"/>
  <c r="N24" i="8"/>
  <c r="N40" i="8" s="1"/>
  <c r="M24" i="8"/>
  <c r="M40" i="8" s="1"/>
  <c r="L24" i="8"/>
  <c r="L40" i="8" s="1"/>
  <c r="K24" i="8"/>
  <c r="K40" i="8" s="1"/>
  <c r="J24" i="8"/>
  <c r="J40" i="8" s="1"/>
  <c r="H24" i="8"/>
  <c r="H40" i="8" s="1"/>
  <c r="F24" i="8"/>
  <c r="F40" i="8" s="1"/>
  <c r="E24" i="8"/>
  <c r="E40" i="8" s="1"/>
  <c r="D24" i="8"/>
  <c r="D40" i="8" s="1"/>
  <c r="Y23" i="8"/>
  <c r="AA23" i="8" s="1"/>
  <c r="AB23" i="8" s="1"/>
  <c r="S23" i="8"/>
  <c r="U23" i="8" s="1"/>
  <c r="M23" i="8"/>
  <c r="O23" i="8" s="1"/>
  <c r="G23" i="8"/>
  <c r="I23" i="8" s="1"/>
  <c r="AA22" i="8"/>
  <c r="AB22" i="8" s="1"/>
  <c r="Y22" i="8"/>
  <c r="S22" i="8"/>
  <c r="U22" i="8" s="1"/>
  <c r="O22" i="8"/>
  <c r="M22" i="8"/>
  <c r="G22" i="8"/>
  <c r="I22" i="8" s="1"/>
  <c r="Y21" i="8"/>
  <c r="AA21" i="8" s="1"/>
  <c r="S21" i="8"/>
  <c r="U21" i="8" s="1"/>
  <c r="M21" i="8"/>
  <c r="O21" i="8" s="1"/>
  <c r="I21" i="8"/>
  <c r="Y20" i="8"/>
  <c r="AA20" i="8" s="1"/>
  <c r="S20" i="8"/>
  <c r="U20" i="8" s="1"/>
  <c r="M20" i="8"/>
  <c r="O20" i="8" s="1"/>
  <c r="G20" i="8"/>
  <c r="I20" i="8" s="1"/>
  <c r="Y19" i="8"/>
  <c r="AA19" i="8" s="1"/>
  <c r="U19" i="8"/>
  <c r="S19" i="8"/>
  <c r="M19" i="8"/>
  <c r="O19" i="8" s="1"/>
  <c r="I19" i="8"/>
  <c r="Y18" i="8"/>
  <c r="AA18" i="8" s="1"/>
  <c r="AB18" i="8" s="1"/>
  <c r="U18" i="8"/>
  <c r="S18" i="8"/>
  <c r="M18" i="8"/>
  <c r="O18" i="8" s="1"/>
  <c r="I18" i="8"/>
  <c r="G18" i="8"/>
  <c r="Y17" i="8"/>
  <c r="AA17" i="8" s="1"/>
  <c r="AB17" i="8" s="1"/>
  <c r="U17" i="8"/>
  <c r="S17" i="8"/>
  <c r="M17" i="8"/>
  <c r="O17" i="8" s="1"/>
  <c r="I17" i="8"/>
  <c r="G17" i="8"/>
  <c r="AA16" i="8"/>
  <c r="AB16" i="8" s="1"/>
  <c r="Y16" i="8"/>
  <c r="S16" i="8"/>
  <c r="U16" i="8" s="1"/>
  <c r="O16" i="8"/>
  <c r="M16" i="8"/>
  <c r="G16" i="8"/>
  <c r="I16" i="8" s="1"/>
  <c r="AB15" i="8"/>
  <c r="AA15" i="8"/>
  <c r="Y15" i="8"/>
  <c r="S15" i="8"/>
  <c r="U15" i="8" s="1"/>
  <c r="O15" i="8"/>
  <c r="O24" i="8" s="1"/>
  <c r="M15" i="8"/>
  <c r="G15" i="8"/>
  <c r="G24" i="8" s="1"/>
  <c r="G40" i="8" s="1"/>
  <c r="O40" i="8" l="1"/>
  <c r="O41" i="8" s="1"/>
  <c r="U24" i="8"/>
  <c r="U40" i="8" s="1"/>
  <c r="U41" i="8" s="1"/>
  <c r="I39" i="8"/>
  <c r="AB35" i="8"/>
  <c r="AA39" i="8"/>
  <c r="AB39" i="8" s="1"/>
  <c r="Y40" i="8"/>
  <c r="O39" i="8"/>
  <c r="AA24" i="8"/>
  <c r="AB19" i="8"/>
  <c r="AB20" i="8"/>
  <c r="AB21" i="8"/>
  <c r="AB36" i="8"/>
  <c r="I15" i="8"/>
  <c r="I24" i="8" s="1"/>
  <c r="I40" i="8" s="1"/>
  <c r="I41" i="8" s="1"/>
  <c r="S24" i="8"/>
  <c r="S40" i="8" s="1"/>
  <c r="AB24" i="8" l="1"/>
  <c r="AA40" i="8"/>
  <c r="AA41" i="8" l="1"/>
  <c r="AB41" i="8" s="1"/>
  <c r="AB40" i="8"/>
  <c r="X54" i="7" l="1"/>
  <c r="X50" i="7" s="1"/>
  <c r="S54" i="7"/>
  <c r="J54" i="7"/>
  <c r="Y53" i="7"/>
  <c r="S53" i="7"/>
  <c r="M53" i="7"/>
  <c r="S52" i="7"/>
  <c r="J52" i="7"/>
  <c r="J50" i="7" s="1"/>
  <c r="V51" i="7"/>
  <c r="Y51" i="7" s="1"/>
  <c r="S51" i="7"/>
  <c r="M51" i="7"/>
  <c r="J51" i="7"/>
  <c r="R50" i="7"/>
  <c r="Q50" i="7"/>
  <c r="S50" i="7" s="1"/>
  <c r="P50" i="7"/>
  <c r="L50" i="7"/>
  <c r="Z38" i="7"/>
  <c r="X38" i="7"/>
  <c r="W38" i="7"/>
  <c r="V38" i="7"/>
  <c r="Y38" i="7" s="1"/>
  <c r="AA38" i="7" s="1"/>
  <c r="T38" i="7"/>
  <c r="R38" i="7"/>
  <c r="Q38" i="7"/>
  <c r="P38" i="7"/>
  <c r="N38" i="7"/>
  <c r="L38" i="7"/>
  <c r="K38" i="7"/>
  <c r="J38" i="7"/>
  <c r="M38" i="7" s="1"/>
  <c r="O38" i="7" s="1"/>
  <c r="H38" i="7"/>
  <c r="F38" i="7"/>
  <c r="E38" i="7"/>
  <c r="D38" i="7"/>
  <c r="Z37" i="7"/>
  <c r="X37" i="7"/>
  <c r="W37" i="7"/>
  <c r="V37" i="7"/>
  <c r="T37" i="7"/>
  <c r="R37" i="7"/>
  <c r="Q37" i="7"/>
  <c r="P37" i="7"/>
  <c r="N37" i="7"/>
  <c r="L37" i="7"/>
  <c r="K37" i="7"/>
  <c r="J37" i="7"/>
  <c r="H37" i="7"/>
  <c r="F37" i="7"/>
  <c r="E37" i="7"/>
  <c r="D37" i="7"/>
  <c r="Z36" i="7"/>
  <c r="X36" i="7"/>
  <c r="W36" i="7"/>
  <c r="V36" i="7"/>
  <c r="T36" i="7"/>
  <c r="R36" i="7"/>
  <c r="Q36" i="7"/>
  <c r="P36" i="7"/>
  <c r="N36" i="7"/>
  <c r="L36" i="7"/>
  <c r="K36" i="7"/>
  <c r="J36" i="7"/>
  <c r="H36" i="7"/>
  <c r="F36" i="7"/>
  <c r="E36" i="7"/>
  <c r="D36" i="7"/>
  <c r="Z35" i="7"/>
  <c r="X35" i="7"/>
  <c r="W35" i="7"/>
  <c r="V35" i="7"/>
  <c r="T35" i="7"/>
  <c r="R35" i="7"/>
  <c r="Q35" i="7"/>
  <c r="P35" i="7"/>
  <c r="N35" i="7"/>
  <c r="L35" i="7"/>
  <c r="K35" i="7"/>
  <c r="J35" i="7"/>
  <c r="H35" i="7"/>
  <c r="F35" i="7"/>
  <c r="E35" i="7"/>
  <c r="D35" i="7"/>
  <c r="Z34" i="7"/>
  <c r="X34" i="7"/>
  <c r="W34" i="7"/>
  <c r="V34" i="7"/>
  <c r="T34" i="7"/>
  <c r="R34" i="7"/>
  <c r="Q34" i="7"/>
  <c r="P34" i="7"/>
  <c r="N34" i="7"/>
  <c r="L34" i="7"/>
  <c r="K34" i="7"/>
  <c r="J34" i="7"/>
  <c r="H34" i="7"/>
  <c r="F34" i="7"/>
  <c r="E34" i="7"/>
  <c r="D34" i="7"/>
  <c r="Z33" i="7"/>
  <c r="X33" i="7"/>
  <c r="W33" i="7"/>
  <c r="V33" i="7"/>
  <c r="T33" i="7"/>
  <c r="R33" i="7"/>
  <c r="Q33" i="7"/>
  <c r="P33" i="7"/>
  <c r="N33" i="7"/>
  <c r="L33" i="7"/>
  <c r="K33" i="7"/>
  <c r="J33" i="7"/>
  <c r="H33" i="7"/>
  <c r="F33" i="7"/>
  <c r="E33" i="7"/>
  <c r="D33" i="7"/>
  <c r="Z32" i="7"/>
  <c r="X32" i="7"/>
  <c r="W32" i="7"/>
  <c r="T32" i="7"/>
  <c r="R32" i="7"/>
  <c r="Q32" i="7"/>
  <c r="P32" i="7"/>
  <c r="N32" i="7"/>
  <c r="L32" i="7"/>
  <c r="K32" i="7"/>
  <c r="J32" i="7"/>
  <c r="H32" i="7"/>
  <c r="F32" i="7"/>
  <c r="E32" i="7"/>
  <c r="D32" i="7"/>
  <c r="Z31" i="7"/>
  <c r="X31" i="7"/>
  <c r="W31" i="7"/>
  <c r="V31" i="7"/>
  <c r="T31" i="7"/>
  <c r="R31" i="7"/>
  <c r="Q31" i="7"/>
  <c r="P31" i="7"/>
  <c r="N31" i="7"/>
  <c r="L31" i="7"/>
  <c r="K31" i="7"/>
  <c r="J31" i="7"/>
  <c r="H31" i="7"/>
  <c r="F31" i="7"/>
  <c r="E31" i="7"/>
  <c r="D31" i="7"/>
  <c r="Z30" i="7"/>
  <c r="X30" i="7"/>
  <c r="W30" i="7"/>
  <c r="V30" i="7"/>
  <c r="T30" i="7"/>
  <c r="R30" i="7"/>
  <c r="Q30" i="7"/>
  <c r="P30" i="7"/>
  <c r="N30" i="7"/>
  <c r="L30" i="7"/>
  <c r="K30" i="7"/>
  <c r="J30" i="7"/>
  <c r="H30" i="7"/>
  <c r="F30" i="7"/>
  <c r="E30" i="7"/>
  <c r="D30" i="7"/>
  <c r="Z29" i="7"/>
  <c r="X29" i="7"/>
  <c r="W29" i="7"/>
  <c r="V29" i="7"/>
  <c r="T29" i="7"/>
  <c r="R29" i="7"/>
  <c r="Q29" i="7"/>
  <c r="P29" i="7"/>
  <c r="N29" i="7"/>
  <c r="L29" i="7"/>
  <c r="K29" i="7"/>
  <c r="J29" i="7"/>
  <c r="H29" i="7"/>
  <c r="F29" i="7"/>
  <c r="E29" i="7"/>
  <c r="D29" i="7"/>
  <c r="Z28" i="7"/>
  <c r="X28" i="7"/>
  <c r="W28" i="7"/>
  <c r="V28" i="7"/>
  <c r="T28" i="7"/>
  <c r="R28" i="7"/>
  <c r="Q28" i="7"/>
  <c r="P28" i="7"/>
  <c r="N28" i="7"/>
  <c r="L28" i="7"/>
  <c r="K28" i="7"/>
  <c r="J28" i="7"/>
  <c r="H28" i="7"/>
  <c r="F28" i="7"/>
  <c r="E28" i="7"/>
  <c r="D28" i="7"/>
  <c r="Z23" i="7"/>
  <c r="X23" i="7"/>
  <c r="W23" i="7"/>
  <c r="V23" i="7"/>
  <c r="T23" i="7"/>
  <c r="R23" i="7"/>
  <c r="Q23" i="7"/>
  <c r="P23" i="7"/>
  <c r="N23" i="7"/>
  <c r="L23" i="7"/>
  <c r="K23" i="7"/>
  <c r="J23" i="7"/>
  <c r="H23" i="7"/>
  <c r="F23" i="7"/>
  <c r="E23" i="7"/>
  <c r="D23" i="7"/>
  <c r="Z22" i="7"/>
  <c r="X22" i="7"/>
  <c r="W22" i="7"/>
  <c r="V22" i="7"/>
  <c r="T22" i="7"/>
  <c r="R22" i="7"/>
  <c r="Q22" i="7"/>
  <c r="P22" i="7"/>
  <c r="N22" i="7"/>
  <c r="L22" i="7"/>
  <c r="K22" i="7"/>
  <c r="J22" i="7"/>
  <c r="H22" i="7"/>
  <c r="F22" i="7"/>
  <c r="E22" i="7"/>
  <c r="D22" i="7"/>
  <c r="Z21" i="7"/>
  <c r="X21" i="7"/>
  <c r="W21" i="7"/>
  <c r="V21" i="7"/>
  <c r="T21" i="7"/>
  <c r="R21" i="7"/>
  <c r="Q21" i="7"/>
  <c r="P21" i="7"/>
  <c r="N21" i="7"/>
  <c r="L21" i="7"/>
  <c r="K21" i="7"/>
  <c r="J21" i="7"/>
  <c r="H21" i="7"/>
  <c r="F21" i="7"/>
  <c r="E21" i="7"/>
  <c r="D21" i="7"/>
  <c r="Z20" i="7"/>
  <c r="X20" i="7"/>
  <c r="W20" i="7"/>
  <c r="V20" i="7"/>
  <c r="T20" i="7"/>
  <c r="R20" i="7"/>
  <c r="Q20" i="7"/>
  <c r="P20" i="7"/>
  <c r="N20" i="7"/>
  <c r="L20" i="7"/>
  <c r="K20" i="7"/>
  <c r="J20" i="7"/>
  <c r="H20" i="7"/>
  <c r="F20" i="7"/>
  <c r="E20" i="7"/>
  <c r="D20" i="7"/>
  <c r="Z19" i="7"/>
  <c r="X19" i="7"/>
  <c r="W19" i="7"/>
  <c r="V19" i="7"/>
  <c r="Y19" i="7" s="1"/>
  <c r="T19" i="7"/>
  <c r="R19" i="7"/>
  <c r="Q19" i="7"/>
  <c r="P19" i="7"/>
  <c r="N19" i="7"/>
  <c r="L19" i="7"/>
  <c r="K19" i="7"/>
  <c r="J19" i="7"/>
  <c r="H19" i="7"/>
  <c r="F19" i="7"/>
  <c r="E19" i="7"/>
  <c r="D19" i="7"/>
  <c r="Z18" i="7"/>
  <c r="X18" i="7"/>
  <c r="W18" i="7"/>
  <c r="V18" i="7"/>
  <c r="T18" i="7"/>
  <c r="R18" i="7"/>
  <c r="Q18" i="7"/>
  <c r="P18" i="7"/>
  <c r="N18" i="7"/>
  <c r="L18" i="7"/>
  <c r="K18" i="7"/>
  <c r="J18" i="7"/>
  <c r="H18" i="7"/>
  <c r="F18" i="7"/>
  <c r="E18" i="7"/>
  <c r="D18" i="7"/>
  <c r="Z17" i="7"/>
  <c r="X17" i="7"/>
  <c r="W17" i="7"/>
  <c r="V17" i="7"/>
  <c r="T17" i="7"/>
  <c r="R17" i="7"/>
  <c r="Q17" i="7"/>
  <c r="P17" i="7"/>
  <c r="N17" i="7"/>
  <c r="L17" i="7"/>
  <c r="K17" i="7"/>
  <c r="J17" i="7"/>
  <c r="H17" i="7"/>
  <c r="F17" i="7"/>
  <c r="E17" i="7"/>
  <c r="D17" i="7"/>
  <c r="Z16" i="7"/>
  <c r="X16" i="7"/>
  <c r="W16" i="7"/>
  <c r="V16" i="7"/>
  <c r="T16" i="7"/>
  <c r="R16" i="7"/>
  <c r="Q16" i="7"/>
  <c r="P16" i="7"/>
  <c r="N16" i="7"/>
  <c r="L16" i="7"/>
  <c r="K16" i="7"/>
  <c r="J16" i="7"/>
  <c r="H16" i="7"/>
  <c r="F16" i="7"/>
  <c r="E16" i="7"/>
  <c r="D16" i="7"/>
  <c r="Z15" i="7"/>
  <c r="X15" i="7"/>
  <c r="W15" i="7"/>
  <c r="V15" i="7"/>
  <c r="T15" i="7"/>
  <c r="R15" i="7"/>
  <c r="Q15" i="7"/>
  <c r="P15" i="7"/>
  <c r="N15" i="7"/>
  <c r="L15" i="7"/>
  <c r="K15" i="7"/>
  <c r="J15" i="7"/>
  <c r="H15" i="7"/>
  <c r="H24" i="7" s="1"/>
  <c r="F15" i="7"/>
  <c r="E15" i="7"/>
  <c r="D15" i="7"/>
  <c r="AA19" i="7" l="1"/>
  <c r="G34" i="7"/>
  <c r="I34" i="7" s="1"/>
  <c r="S36" i="7"/>
  <c r="U36" i="7" s="1"/>
  <c r="M21" i="7"/>
  <c r="O21" i="7" s="1"/>
  <c r="S23" i="7"/>
  <c r="U23" i="7" s="1"/>
  <c r="M28" i="7"/>
  <c r="O28" i="7" s="1"/>
  <c r="S30" i="7"/>
  <c r="U30" i="7" s="1"/>
  <c r="G32" i="7"/>
  <c r="I32" i="7" s="1"/>
  <c r="G21" i="7"/>
  <c r="I21" i="7" s="1"/>
  <c r="M23" i="7"/>
  <c r="O23" i="7" s="1"/>
  <c r="G28" i="7"/>
  <c r="I28" i="7" s="1"/>
  <c r="M30" i="7"/>
  <c r="O30" i="7" s="1"/>
  <c r="S32" i="7"/>
  <c r="U32" i="7" s="1"/>
  <c r="Y34" i="7"/>
  <c r="AA34" i="7" s="1"/>
  <c r="S38" i="7"/>
  <c r="U38" i="7" s="1"/>
  <c r="G15" i="7"/>
  <c r="I15" i="7" s="1"/>
  <c r="M17" i="7"/>
  <c r="O17" i="7" s="1"/>
  <c r="M19" i="7"/>
  <c r="O19" i="7" s="1"/>
  <c r="AB19" i="7" s="1"/>
  <c r="K24" i="7"/>
  <c r="S15" i="7"/>
  <c r="U15" i="7" s="1"/>
  <c r="W24" i="7"/>
  <c r="S21" i="7"/>
  <c r="U21" i="7" s="1"/>
  <c r="Y23" i="7"/>
  <c r="AA23" i="7" s="1"/>
  <c r="S28" i="7"/>
  <c r="U28" i="7" s="1"/>
  <c r="M29" i="7"/>
  <c r="Y29" i="7"/>
  <c r="Y30" i="7"/>
  <c r="AA30" i="7" s="1"/>
  <c r="G31" i="7"/>
  <c r="I31" i="7" s="1"/>
  <c r="S31" i="7"/>
  <c r="U31" i="7" s="1"/>
  <c r="M34" i="7"/>
  <c r="O34" i="7" s="1"/>
  <c r="G36" i="7"/>
  <c r="I36" i="7" s="1"/>
  <c r="AB23" i="7"/>
  <c r="H39" i="7"/>
  <c r="H40" i="7" s="1"/>
  <c r="T39" i="7"/>
  <c r="G17" i="7"/>
  <c r="I17" i="7" s="1"/>
  <c r="S19" i="7"/>
  <c r="U19" i="7" s="1"/>
  <c r="Y28" i="7"/>
  <c r="AA28" i="7" s="1"/>
  <c r="AB28" i="7" s="1"/>
  <c r="M36" i="7"/>
  <c r="O36" i="7" s="1"/>
  <c r="F24" i="7"/>
  <c r="L24" i="7"/>
  <c r="R24" i="7"/>
  <c r="X24" i="7"/>
  <c r="S17" i="7"/>
  <c r="U17" i="7" s="1"/>
  <c r="Y17" i="7"/>
  <c r="AA17" i="7" s="1"/>
  <c r="M18" i="7"/>
  <c r="O18" i="7" s="1"/>
  <c r="Y18" i="7"/>
  <c r="AA18" i="7" s="1"/>
  <c r="G20" i="7"/>
  <c r="I20" i="7" s="1"/>
  <c r="S20" i="7"/>
  <c r="U20" i="7" s="1"/>
  <c r="Y21" i="7"/>
  <c r="AA21" i="7" s="1"/>
  <c r="M22" i="7"/>
  <c r="O22" i="7" s="1"/>
  <c r="Y22" i="7"/>
  <c r="AA22" i="7" s="1"/>
  <c r="G30" i="7"/>
  <c r="I30" i="7" s="1"/>
  <c r="S34" i="7"/>
  <c r="U34" i="7" s="1"/>
  <c r="G37" i="7"/>
  <c r="I37" i="7" s="1"/>
  <c r="M37" i="7"/>
  <c r="O37" i="7" s="1"/>
  <c r="K52" i="7" s="1"/>
  <c r="M52" i="7" s="1"/>
  <c r="S37" i="7"/>
  <c r="U37" i="7" s="1"/>
  <c r="Y37" i="7"/>
  <c r="AA37" i="7" s="1"/>
  <c r="AB37" i="7" s="1"/>
  <c r="N24" i="7"/>
  <c r="T24" i="7"/>
  <c r="Z24" i="7"/>
  <c r="G19" i="7"/>
  <c r="I19" i="7" s="1"/>
  <c r="G23" i="7"/>
  <c r="I23" i="7" s="1"/>
  <c r="Z39" i="7"/>
  <c r="M32" i="7"/>
  <c r="O32" i="7" s="1"/>
  <c r="M33" i="7"/>
  <c r="O33" i="7" s="1"/>
  <c r="K54" i="7" s="1"/>
  <c r="M54" i="7" s="1"/>
  <c r="Y36" i="7"/>
  <c r="AA36" i="7" s="1"/>
  <c r="AB36" i="7" s="1"/>
  <c r="G38" i="7"/>
  <c r="I38" i="7" s="1"/>
  <c r="S33" i="7"/>
  <c r="U33" i="7" s="1"/>
  <c r="Y33" i="7"/>
  <c r="AA33" i="7" s="1"/>
  <c r="V32" i="7"/>
  <c r="Y32" i="7" s="1"/>
  <c r="AA32" i="7" s="1"/>
  <c r="G35" i="7"/>
  <c r="I35" i="7" s="1"/>
  <c r="D39" i="7"/>
  <c r="J39" i="7"/>
  <c r="S35" i="7"/>
  <c r="U35" i="7" s="1"/>
  <c r="P39" i="7"/>
  <c r="W52" i="7"/>
  <c r="AB38" i="7"/>
  <c r="F39" i="7"/>
  <c r="L39" i="7"/>
  <c r="R39" i="7"/>
  <c r="R40" i="7" s="1"/>
  <c r="X39" i="7"/>
  <c r="G16" i="7"/>
  <c r="I16" i="7" s="1"/>
  <c r="J24" i="7"/>
  <c r="M16" i="7"/>
  <c r="O16" i="7" s="1"/>
  <c r="S16" i="7"/>
  <c r="U16" i="7" s="1"/>
  <c r="V24" i="7"/>
  <c r="Y16" i="7"/>
  <c r="AA16" i="7" s="1"/>
  <c r="G18" i="7"/>
  <c r="I18" i="7" s="1"/>
  <c r="S18" i="7"/>
  <c r="U18" i="7" s="1"/>
  <c r="M20" i="7"/>
  <c r="O20" i="7" s="1"/>
  <c r="Y20" i="7"/>
  <c r="AA20" i="7" s="1"/>
  <c r="P24" i="7"/>
  <c r="N39" i="7"/>
  <c r="N40" i="7" s="1"/>
  <c r="G29" i="7"/>
  <c r="I29" i="7" s="1"/>
  <c r="O29" i="7"/>
  <c r="S29" i="7"/>
  <c r="U29" i="7" s="1"/>
  <c r="AA29" i="7"/>
  <c r="M31" i="7"/>
  <c r="O31" i="7" s="1"/>
  <c r="Y31" i="7"/>
  <c r="AA31" i="7" s="1"/>
  <c r="G33" i="7"/>
  <c r="I33" i="7" s="1"/>
  <c r="E24" i="7"/>
  <c r="M15" i="7"/>
  <c r="O15" i="7" s="1"/>
  <c r="Q24" i="7"/>
  <c r="Y15" i="7"/>
  <c r="AA15" i="7" s="1"/>
  <c r="G22" i="7"/>
  <c r="I22" i="7" s="1"/>
  <c r="S22" i="7"/>
  <c r="U22" i="7" s="1"/>
  <c r="D24" i="7"/>
  <c r="E39" i="7"/>
  <c r="K39" i="7"/>
  <c r="Q39" i="7"/>
  <c r="W39" i="7"/>
  <c r="M35" i="7"/>
  <c r="O35" i="7" s="1"/>
  <c r="Y35" i="7"/>
  <c r="AA35" i="7" s="1"/>
  <c r="V50" i="7"/>
  <c r="AB30" i="7" l="1"/>
  <c r="AB21" i="7"/>
  <c r="AB16" i="7"/>
  <c r="K40" i="7"/>
  <c r="X40" i="7"/>
  <c r="AB32" i="7"/>
  <c r="T40" i="7"/>
  <c r="W40" i="7"/>
  <c r="F40" i="7"/>
  <c r="K50" i="7"/>
  <c r="M50" i="7" s="1"/>
  <c r="AB31" i="7"/>
  <c r="AB29" i="7"/>
  <c r="O24" i="7"/>
  <c r="U39" i="7"/>
  <c r="Z40" i="7"/>
  <c r="AB17" i="7"/>
  <c r="AB34" i="7"/>
  <c r="O39" i="7"/>
  <c r="O40" i="7" s="1"/>
  <c r="O41" i="7" s="1"/>
  <c r="I24" i="7"/>
  <c r="U24" i="7"/>
  <c r="Q40" i="7"/>
  <c r="L40" i="7"/>
  <c r="S24" i="7"/>
  <c r="P40" i="7"/>
  <c r="M39" i="7"/>
  <c r="AA39" i="7"/>
  <c r="AB33" i="7"/>
  <c r="W54" i="7"/>
  <c r="Y54" i="7" s="1"/>
  <c r="G24" i="7"/>
  <c r="D40" i="7"/>
  <c r="E40" i="7"/>
  <c r="Y52" i="7"/>
  <c r="V39" i="7"/>
  <c r="Y39" i="7" s="1"/>
  <c r="G39" i="7"/>
  <c r="Y24" i="7"/>
  <c r="AB35" i="7"/>
  <c r="AB22" i="7"/>
  <c r="AA24" i="7"/>
  <c r="AB15" i="7"/>
  <c r="AB20" i="7"/>
  <c r="AB18" i="7"/>
  <c r="J40" i="7"/>
  <c r="M24" i="7"/>
  <c r="S39" i="7"/>
  <c r="I39" i="7"/>
  <c r="I40" i="7" l="1"/>
  <c r="I41" i="7" s="1"/>
  <c r="U40" i="7"/>
  <c r="U41" i="7" s="1"/>
  <c r="M40" i="7"/>
  <c r="AB39" i="7"/>
  <c r="S40" i="7"/>
  <c r="Y40" i="7"/>
  <c r="W50" i="7"/>
  <c r="Y50" i="7" s="1"/>
  <c r="G40" i="7"/>
  <c r="AA40" i="7"/>
  <c r="AB24" i="7"/>
  <c r="V40" i="7"/>
  <c r="AA41" i="7" l="1"/>
  <c r="AB41" i="7" s="1"/>
  <c r="AB40" i="7"/>
  <c r="Y63" i="6" l="1"/>
  <c r="Y55" i="6"/>
  <c r="S55" i="6"/>
  <c r="M55" i="6"/>
  <c r="G55" i="6"/>
  <c r="Y54" i="6"/>
  <c r="S54" i="6"/>
  <c r="M54" i="6"/>
  <c r="G54" i="6"/>
  <c r="Y53" i="6"/>
  <c r="S53" i="6"/>
  <c r="M53" i="6"/>
  <c r="M51" i="6" s="1"/>
  <c r="G53" i="6"/>
  <c r="Y52" i="6"/>
  <c r="Q52" i="6"/>
  <c r="P52" i="6"/>
  <c r="S52" i="6" s="1"/>
  <c r="M52" i="6"/>
  <c r="E52" i="6"/>
  <c r="D52" i="6"/>
  <c r="G52" i="6" s="1"/>
  <c r="G51" i="6" s="1"/>
  <c r="Y51" i="6"/>
  <c r="X51" i="6"/>
  <c r="W51" i="6"/>
  <c r="V51" i="6"/>
  <c r="R51" i="6"/>
  <c r="Q51" i="6"/>
  <c r="S51" i="6" s="1"/>
  <c r="P51" i="6"/>
  <c r="L51" i="6"/>
  <c r="K51" i="6"/>
  <c r="J51" i="6"/>
  <c r="F51" i="6"/>
  <c r="E51" i="6"/>
  <c r="D51" i="6"/>
  <c r="K41" i="6"/>
  <c r="Z40" i="6"/>
  <c r="X40" i="6"/>
  <c r="T40" i="6"/>
  <c r="N40" i="6"/>
  <c r="L40" i="6"/>
  <c r="K40" i="6"/>
  <c r="J40" i="6"/>
  <c r="M40" i="6" s="1"/>
  <c r="H40" i="6"/>
  <c r="D40" i="6"/>
  <c r="V39" i="6"/>
  <c r="V40" i="6" s="1"/>
  <c r="Y40" i="6" s="1"/>
  <c r="R39" i="6"/>
  <c r="Q39" i="6"/>
  <c r="S39" i="6" s="1"/>
  <c r="U39" i="6" s="1"/>
  <c r="M39" i="6"/>
  <c r="O39" i="6" s="1"/>
  <c r="G39" i="6"/>
  <c r="I39" i="6" s="1"/>
  <c r="D39" i="6"/>
  <c r="Y38" i="6"/>
  <c r="AA38" i="6" s="1"/>
  <c r="R38" i="6"/>
  <c r="P38" i="6"/>
  <c r="S38" i="6" s="1"/>
  <c r="U38" i="6" s="1"/>
  <c r="M38" i="6"/>
  <c r="O38" i="6" s="1"/>
  <c r="G38" i="6"/>
  <c r="I38" i="6" s="1"/>
  <c r="Y37" i="6"/>
  <c r="AA37" i="6" s="1"/>
  <c r="AB37" i="6" s="1"/>
  <c r="U37" i="6"/>
  <c r="S37" i="6"/>
  <c r="M37" i="6"/>
  <c r="O37" i="6" s="1"/>
  <c r="I37" i="6"/>
  <c r="G37" i="6"/>
  <c r="Y36" i="6"/>
  <c r="AA36" i="6" s="1"/>
  <c r="W36" i="6"/>
  <c r="W40" i="6" s="1"/>
  <c r="R36" i="6"/>
  <c r="R40" i="6" s="1"/>
  <c r="Q36" i="6"/>
  <c r="Q40" i="6" s="1"/>
  <c r="M36" i="6"/>
  <c r="O36" i="6" s="1"/>
  <c r="O40" i="6" s="1"/>
  <c r="I36" i="6"/>
  <c r="G36" i="6"/>
  <c r="F36" i="6"/>
  <c r="F40" i="6" s="1"/>
  <c r="AA35" i="6"/>
  <c r="AB35" i="6" s="1"/>
  <c r="Y35" i="6"/>
  <c r="S35" i="6"/>
  <c r="U35" i="6" s="1"/>
  <c r="O35" i="6"/>
  <c r="M35" i="6"/>
  <c r="G35" i="6"/>
  <c r="I35" i="6" s="1"/>
  <c r="W34" i="6"/>
  <c r="Y34" i="6" s="1"/>
  <c r="AA34" i="6" s="1"/>
  <c r="U34" i="6"/>
  <c r="S34" i="6"/>
  <c r="Q34" i="6"/>
  <c r="M34" i="6"/>
  <c r="O34" i="6" s="1"/>
  <c r="I34" i="6"/>
  <c r="G34" i="6"/>
  <c r="X33" i="6"/>
  <c r="W33" i="6"/>
  <c r="V33" i="6"/>
  <c r="Y33" i="6" s="1"/>
  <c r="AA33" i="6" s="1"/>
  <c r="AB33" i="6" s="1"/>
  <c r="R33" i="6"/>
  <c r="Q33" i="6"/>
  <c r="S33" i="6" s="1"/>
  <c r="U33" i="6" s="1"/>
  <c r="O33" i="6"/>
  <c r="M33" i="6"/>
  <c r="G33" i="6"/>
  <c r="I33" i="6" s="1"/>
  <c r="F33" i="6"/>
  <c r="E33" i="6"/>
  <c r="E40" i="6" s="1"/>
  <c r="D33" i="6"/>
  <c r="AA32" i="6"/>
  <c r="Y32" i="6"/>
  <c r="S32" i="6"/>
  <c r="U32" i="6" s="1"/>
  <c r="R32" i="6"/>
  <c r="Q32" i="6"/>
  <c r="P32" i="6"/>
  <c r="O32" i="6"/>
  <c r="AB32" i="6" s="1"/>
  <c r="M32" i="6"/>
  <c r="G32" i="6"/>
  <c r="I32" i="6" s="1"/>
  <c r="AA31" i="6"/>
  <c r="Y31" i="6"/>
  <c r="S31" i="6"/>
  <c r="U31" i="6" s="1"/>
  <c r="P31" i="6"/>
  <c r="M31" i="6"/>
  <c r="O31" i="6" s="1"/>
  <c r="AB31" i="6" s="1"/>
  <c r="I31" i="6"/>
  <c r="G31" i="6"/>
  <c r="Y30" i="6"/>
  <c r="AA30" i="6" s="1"/>
  <c r="AB30" i="6" s="1"/>
  <c r="U30" i="6"/>
  <c r="S30" i="6"/>
  <c r="M30" i="6"/>
  <c r="O30" i="6" s="1"/>
  <c r="I30" i="6"/>
  <c r="G30" i="6"/>
  <c r="AA29" i="6"/>
  <c r="AB29" i="6" s="1"/>
  <c r="Y29" i="6"/>
  <c r="S29" i="6"/>
  <c r="U29" i="6" s="1"/>
  <c r="O29" i="6"/>
  <c r="M29" i="6"/>
  <c r="G29" i="6"/>
  <c r="I29" i="6" s="1"/>
  <c r="Z25" i="6"/>
  <c r="Z41" i="6" s="1"/>
  <c r="X25" i="6"/>
  <c r="X41" i="6" s="1"/>
  <c r="V25" i="6"/>
  <c r="T25" i="6"/>
  <c r="T41" i="6" s="1"/>
  <c r="P25" i="6"/>
  <c r="N25" i="6"/>
  <c r="N41" i="6" s="1"/>
  <c r="L25" i="6"/>
  <c r="L41" i="6" s="1"/>
  <c r="K25" i="6"/>
  <c r="J25" i="6"/>
  <c r="J41" i="6" s="1"/>
  <c r="H25" i="6"/>
  <c r="H41" i="6" s="1"/>
  <c r="E25" i="6"/>
  <c r="E41" i="6" s="1"/>
  <c r="D25" i="6"/>
  <c r="G25" i="6" s="1"/>
  <c r="AA24" i="6"/>
  <c r="AB24" i="6" s="1"/>
  <c r="Y24" i="6"/>
  <c r="U24" i="6"/>
  <c r="S24" i="6"/>
  <c r="O24" i="6"/>
  <c r="M24" i="6"/>
  <c r="I24" i="6"/>
  <c r="G24" i="6"/>
  <c r="Y23" i="6"/>
  <c r="AA23" i="6" s="1"/>
  <c r="AB23" i="6" s="1"/>
  <c r="S23" i="6"/>
  <c r="U23" i="6" s="1"/>
  <c r="M23" i="6"/>
  <c r="O23" i="6" s="1"/>
  <c r="G23" i="6"/>
  <c r="I23" i="6" s="1"/>
  <c r="AA22" i="6"/>
  <c r="AB22" i="6" s="1"/>
  <c r="Y22" i="6"/>
  <c r="R22" i="6"/>
  <c r="S22" i="6" s="1"/>
  <c r="U22" i="6" s="1"/>
  <c r="M22" i="6"/>
  <c r="O22" i="6" s="1"/>
  <c r="G22" i="6"/>
  <c r="I22" i="6" s="1"/>
  <c r="F22" i="6"/>
  <c r="F25" i="6" s="1"/>
  <c r="Y21" i="6"/>
  <c r="AA21" i="6" s="1"/>
  <c r="S21" i="6"/>
  <c r="U21" i="6" s="1"/>
  <c r="M21" i="6"/>
  <c r="O21" i="6" s="1"/>
  <c r="G21" i="6"/>
  <c r="I21" i="6" s="1"/>
  <c r="AA20" i="6"/>
  <c r="AB20" i="6" s="1"/>
  <c r="Y20" i="6"/>
  <c r="R20" i="6"/>
  <c r="R25" i="6" s="1"/>
  <c r="R41" i="6" s="1"/>
  <c r="M20" i="6"/>
  <c r="O20" i="6" s="1"/>
  <c r="G20" i="6"/>
  <c r="I20" i="6" s="1"/>
  <c r="W19" i="6"/>
  <c r="W25" i="6" s="1"/>
  <c r="W41" i="6" s="1"/>
  <c r="Q19" i="6"/>
  <c r="S19" i="6" s="1"/>
  <c r="U19" i="6" s="1"/>
  <c r="O19" i="6"/>
  <c r="M19" i="6"/>
  <c r="G19" i="6"/>
  <c r="I19" i="6" s="1"/>
  <c r="AA18" i="6"/>
  <c r="Y18" i="6"/>
  <c r="S18" i="6"/>
  <c r="U18" i="6" s="1"/>
  <c r="O18" i="6"/>
  <c r="M18" i="6"/>
  <c r="G18" i="6"/>
  <c r="I18" i="6" s="1"/>
  <c r="Y17" i="6"/>
  <c r="AA17" i="6" s="1"/>
  <c r="S17" i="6"/>
  <c r="U17" i="6" s="1"/>
  <c r="M17" i="6"/>
  <c r="O17" i="6" s="1"/>
  <c r="G17" i="6"/>
  <c r="I17" i="6" s="1"/>
  <c r="D17" i="6"/>
  <c r="Y16" i="6"/>
  <c r="AA16" i="6" s="1"/>
  <c r="AB16" i="6" s="1"/>
  <c r="S16" i="6"/>
  <c r="U16" i="6" s="1"/>
  <c r="M16" i="6"/>
  <c r="O16" i="6" s="1"/>
  <c r="G16" i="6"/>
  <c r="I16" i="6" s="1"/>
  <c r="AA15" i="6"/>
  <c r="Y15" i="6"/>
  <c r="S15" i="6"/>
  <c r="U15" i="6" s="1"/>
  <c r="O15" i="6"/>
  <c r="M15" i="6"/>
  <c r="G15" i="6"/>
  <c r="I15" i="6" s="1"/>
  <c r="I25" i="6" s="1"/>
  <c r="AA40" i="6" l="1"/>
  <c r="AB40" i="6" s="1"/>
  <c r="AB36" i="6"/>
  <c r="O25" i="6"/>
  <c r="O41" i="6" s="1"/>
  <c r="O42" i="6" s="1"/>
  <c r="AB17" i="6"/>
  <c r="AB21" i="6"/>
  <c r="V41" i="6"/>
  <c r="AB34" i="6"/>
  <c r="G40" i="6"/>
  <c r="G41" i="6" s="1"/>
  <c r="F41" i="6"/>
  <c r="I40" i="6"/>
  <c r="I41" i="6" s="1"/>
  <c r="I42" i="6" s="1"/>
  <c r="AB38" i="6"/>
  <c r="P40" i="6"/>
  <c r="S40" i="6" s="1"/>
  <c r="AB15" i="6"/>
  <c r="Y19" i="6"/>
  <c r="AA19" i="6" s="1"/>
  <c r="AB19" i="6" s="1"/>
  <c r="S20" i="6"/>
  <c r="U20" i="6" s="1"/>
  <c r="U25" i="6" s="1"/>
  <c r="U41" i="6" s="1"/>
  <c r="U42" i="6" s="1"/>
  <c r="M25" i="6"/>
  <c r="M41" i="6" s="1"/>
  <c r="Q25" i="6"/>
  <c r="Q41" i="6" s="1"/>
  <c r="Y25" i="6"/>
  <c r="Y41" i="6" s="1"/>
  <c r="S36" i="6"/>
  <c r="U36" i="6" s="1"/>
  <c r="U40" i="6" s="1"/>
  <c r="Y39" i="6"/>
  <c r="AA39" i="6" s="1"/>
  <c r="AB39" i="6" s="1"/>
  <c r="D41" i="6"/>
  <c r="P41" i="6"/>
  <c r="S25" i="6" l="1"/>
  <c r="S41" i="6" s="1"/>
  <c r="AA25" i="6"/>
  <c r="AA41" i="6" l="1"/>
  <c r="AB25" i="6"/>
  <c r="AA42" i="6" l="1"/>
  <c r="AB42" i="6" s="1"/>
  <c r="AB41" i="6"/>
  <c r="Y54" i="5" l="1"/>
  <c r="S54" i="5"/>
  <c r="G54" i="5"/>
  <c r="Y53" i="5"/>
  <c r="S53" i="5"/>
  <c r="G53" i="5"/>
  <c r="Y52" i="5"/>
  <c r="S52" i="5"/>
  <c r="G52" i="5"/>
  <c r="Y51" i="5"/>
  <c r="S51" i="5"/>
  <c r="G51" i="5"/>
  <c r="Y50" i="5"/>
  <c r="S50" i="5"/>
  <c r="M50" i="5"/>
  <c r="G50" i="5"/>
  <c r="Z40" i="5"/>
  <c r="V40" i="5"/>
  <c r="R40" i="5"/>
  <c r="N40" i="5"/>
  <c r="J40" i="5"/>
  <c r="F40" i="5"/>
  <c r="Z39" i="5"/>
  <c r="X39" i="5"/>
  <c r="W39" i="5"/>
  <c r="Y39" i="5" s="1"/>
  <c r="V39" i="5"/>
  <c r="T39" i="5"/>
  <c r="S39" i="5"/>
  <c r="R39" i="5"/>
  <c r="Q39" i="5"/>
  <c r="P39" i="5"/>
  <c r="N39" i="5"/>
  <c r="L39" i="5"/>
  <c r="K39" i="5"/>
  <c r="M39" i="5" s="1"/>
  <c r="J39" i="5"/>
  <c r="H39" i="5"/>
  <c r="G39" i="5"/>
  <c r="F39" i="5"/>
  <c r="E39" i="5"/>
  <c r="D39" i="5"/>
  <c r="Y38" i="5"/>
  <c r="AA38" i="5" s="1"/>
  <c r="AB38" i="5" s="1"/>
  <c r="S38" i="5"/>
  <c r="U38" i="5" s="1"/>
  <c r="M38" i="5"/>
  <c r="O38" i="5" s="1"/>
  <c r="G38" i="5"/>
  <c r="I38" i="5" s="1"/>
  <c r="Y37" i="5"/>
  <c r="AA37" i="5" s="1"/>
  <c r="AB37" i="5" s="1"/>
  <c r="U37" i="5"/>
  <c r="S37" i="5"/>
  <c r="M37" i="5"/>
  <c r="O37" i="5" s="1"/>
  <c r="I37" i="5"/>
  <c r="G37" i="5"/>
  <c r="Y36" i="5"/>
  <c r="AA36" i="5" s="1"/>
  <c r="S36" i="5"/>
  <c r="U36" i="5" s="1"/>
  <c r="M36" i="5"/>
  <c r="O36" i="5" s="1"/>
  <c r="G36" i="5"/>
  <c r="I36" i="5" s="1"/>
  <c r="AA35" i="5"/>
  <c r="AB35" i="5" s="1"/>
  <c r="Y35" i="5"/>
  <c r="S35" i="5"/>
  <c r="U35" i="5" s="1"/>
  <c r="O35" i="5"/>
  <c r="M35" i="5"/>
  <c r="G35" i="5"/>
  <c r="I35" i="5" s="1"/>
  <c r="Y34" i="5"/>
  <c r="AA34" i="5" s="1"/>
  <c r="AB34" i="5" s="1"/>
  <c r="S34" i="5"/>
  <c r="U34" i="5" s="1"/>
  <c r="M34" i="5"/>
  <c r="O34" i="5" s="1"/>
  <c r="G34" i="5"/>
  <c r="I34" i="5" s="1"/>
  <c r="Y33" i="5"/>
  <c r="AA33" i="5" s="1"/>
  <c r="AB33" i="5" s="1"/>
  <c r="U33" i="5"/>
  <c r="S33" i="5"/>
  <c r="M33" i="5"/>
  <c r="O33" i="5" s="1"/>
  <c r="I33" i="5"/>
  <c r="G33" i="5"/>
  <c r="Y32" i="5"/>
  <c r="AA32" i="5" s="1"/>
  <c r="S32" i="5"/>
  <c r="U32" i="5" s="1"/>
  <c r="M32" i="5"/>
  <c r="O32" i="5" s="1"/>
  <c r="G32" i="5"/>
  <c r="I32" i="5" s="1"/>
  <c r="AA31" i="5"/>
  <c r="AB31" i="5" s="1"/>
  <c r="Y31" i="5"/>
  <c r="S31" i="5"/>
  <c r="U31" i="5" s="1"/>
  <c r="O31" i="5"/>
  <c r="M31" i="5"/>
  <c r="G31" i="5"/>
  <c r="I31" i="5" s="1"/>
  <c r="Y30" i="5"/>
  <c r="AA30" i="5" s="1"/>
  <c r="AB30" i="5" s="1"/>
  <c r="S30" i="5"/>
  <c r="U30" i="5" s="1"/>
  <c r="M30" i="5"/>
  <c r="O30" i="5" s="1"/>
  <c r="G30" i="5"/>
  <c r="I30" i="5" s="1"/>
  <c r="Y29" i="5"/>
  <c r="AA29" i="5" s="1"/>
  <c r="AB29" i="5" s="1"/>
  <c r="U29" i="5"/>
  <c r="S29" i="5"/>
  <c r="M29" i="5"/>
  <c r="O29" i="5" s="1"/>
  <c r="I29" i="5"/>
  <c r="G29" i="5"/>
  <c r="Y28" i="5"/>
  <c r="AA28" i="5" s="1"/>
  <c r="S28" i="5"/>
  <c r="U28" i="5" s="1"/>
  <c r="M28" i="5"/>
  <c r="O28" i="5" s="1"/>
  <c r="G28" i="5"/>
  <c r="I28" i="5" s="1"/>
  <c r="Z24" i="5"/>
  <c r="X24" i="5"/>
  <c r="X40" i="5" s="1"/>
  <c r="W24" i="5"/>
  <c r="Y24" i="5" s="1"/>
  <c r="Y40" i="5" s="1"/>
  <c r="V24" i="5"/>
  <c r="T24" i="5"/>
  <c r="T40" i="5" s="1"/>
  <c r="S24" i="5"/>
  <c r="S40" i="5" s="1"/>
  <c r="R24" i="5"/>
  <c r="Q24" i="5"/>
  <c r="Q40" i="5" s="1"/>
  <c r="P24" i="5"/>
  <c r="P40" i="5" s="1"/>
  <c r="N24" i="5"/>
  <c r="L24" i="5"/>
  <c r="L40" i="5" s="1"/>
  <c r="K24" i="5"/>
  <c r="M24" i="5" s="1"/>
  <c r="M40" i="5" s="1"/>
  <c r="J24" i="5"/>
  <c r="H24" i="5"/>
  <c r="H40" i="5" s="1"/>
  <c r="G24" i="5"/>
  <c r="G40" i="5" s="1"/>
  <c r="F24" i="5"/>
  <c r="E24" i="5"/>
  <c r="E40" i="5" s="1"/>
  <c r="D24" i="5"/>
  <c r="D40" i="5" s="1"/>
  <c r="Y23" i="5"/>
  <c r="AA23" i="5" s="1"/>
  <c r="AB23" i="5" s="1"/>
  <c r="S23" i="5"/>
  <c r="U23" i="5" s="1"/>
  <c r="M23" i="5"/>
  <c r="O23" i="5" s="1"/>
  <c r="G23" i="5"/>
  <c r="I23" i="5" s="1"/>
  <c r="Y22" i="5"/>
  <c r="AA22" i="5" s="1"/>
  <c r="AB22" i="5" s="1"/>
  <c r="U22" i="5"/>
  <c r="S22" i="5"/>
  <c r="M22" i="5"/>
  <c r="O22" i="5" s="1"/>
  <c r="I22" i="5"/>
  <c r="G22" i="5"/>
  <c r="Y21" i="5"/>
  <c r="AA21" i="5" s="1"/>
  <c r="S21" i="5"/>
  <c r="U21" i="5" s="1"/>
  <c r="M21" i="5"/>
  <c r="O21" i="5" s="1"/>
  <c r="G21" i="5"/>
  <c r="I21" i="5" s="1"/>
  <c r="AA20" i="5"/>
  <c r="AB20" i="5" s="1"/>
  <c r="Y20" i="5"/>
  <c r="S20" i="5"/>
  <c r="U20" i="5" s="1"/>
  <c r="O20" i="5"/>
  <c r="M20" i="5"/>
  <c r="I20" i="5"/>
  <c r="AA19" i="5"/>
  <c r="AB19" i="5" s="1"/>
  <c r="Y19" i="5"/>
  <c r="S19" i="5"/>
  <c r="U19" i="5" s="1"/>
  <c r="O19" i="5"/>
  <c r="M19" i="5"/>
  <c r="G19" i="5"/>
  <c r="I19" i="5" s="1"/>
  <c r="Y18" i="5"/>
  <c r="AA18" i="5" s="1"/>
  <c r="S18" i="5"/>
  <c r="U18" i="5" s="1"/>
  <c r="M18" i="5"/>
  <c r="O18" i="5" s="1"/>
  <c r="G18" i="5"/>
  <c r="I18" i="5" s="1"/>
  <c r="Y17" i="5"/>
  <c r="AA17" i="5" s="1"/>
  <c r="AB17" i="5" s="1"/>
  <c r="U17" i="5"/>
  <c r="S17" i="5"/>
  <c r="M17" i="5"/>
  <c r="O17" i="5" s="1"/>
  <c r="I17" i="5"/>
  <c r="G17" i="5"/>
  <c r="Y16" i="5"/>
  <c r="AA16" i="5" s="1"/>
  <c r="AB16" i="5" s="1"/>
  <c r="U16" i="5"/>
  <c r="S16" i="5"/>
  <c r="M16" i="5"/>
  <c r="O16" i="5" s="1"/>
  <c r="I16" i="5"/>
  <c r="G16" i="5"/>
  <c r="AA15" i="5"/>
  <c r="AB15" i="5" s="1"/>
  <c r="Y15" i="5"/>
  <c r="S15" i="5"/>
  <c r="U15" i="5" s="1"/>
  <c r="U24" i="5" s="1"/>
  <c r="O15" i="5"/>
  <c r="M15" i="5"/>
  <c r="G15" i="5"/>
  <c r="I15" i="5" s="1"/>
  <c r="I24" i="5" s="1"/>
  <c r="U39" i="5" l="1"/>
  <c r="I39" i="5"/>
  <c r="I40" i="5" s="1"/>
  <c r="I41" i="5" s="1"/>
  <c r="AB18" i="5"/>
  <c r="AB21" i="5"/>
  <c r="AB28" i="5"/>
  <c r="AB32" i="5"/>
  <c r="AB36" i="5"/>
  <c r="O24" i="5"/>
  <c r="O39" i="5"/>
  <c r="U40" i="5"/>
  <c r="U41" i="5" s="1"/>
  <c r="AA24" i="5"/>
  <c r="AA39" i="5"/>
  <c r="K40" i="5"/>
  <c r="W40" i="5"/>
  <c r="AA40" i="5" l="1"/>
  <c r="AB24" i="5"/>
  <c r="AB39" i="5"/>
  <c r="O40" i="5"/>
  <c r="O41" i="5" s="1"/>
  <c r="AA41" i="5" l="1"/>
  <c r="AB41" i="5" s="1"/>
  <c r="AB40" i="5"/>
  <c r="Y73" i="4" l="1"/>
  <c r="Y55" i="4"/>
  <c r="S55" i="4"/>
  <c r="M55" i="4"/>
  <c r="G55" i="4"/>
  <c r="Y54" i="4"/>
  <c r="S54" i="4"/>
  <c r="M54" i="4"/>
  <c r="G54" i="4"/>
  <c r="Y53" i="4"/>
  <c r="S53" i="4"/>
  <c r="M53" i="4"/>
  <c r="G53" i="4"/>
  <c r="Y52" i="4"/>
  <c r="S52" i="4"/>
  <c r="M52" i="4"/>
  <c r="G52" i="4"/>
  <c r="X51" i="4"/>
  <c r="W51" i="4"/>
  <c r="Y51" i="4" s="1"/>
  <c r="R51" i="4"/>
  <c r="Q51" i="4"/>
  <c r="S51" i="4" s="1"/>
  <c r="M51" i="4"/>
  <c r="L51" i="4"/>
  <c r="K51" i="4"/>
  <c r="J51" i="4"/>
  <c r="G51" i="4"/>
  <c r="F51" i="4"/>
  <c r="E51" i="4"/>
  <c r="D51" i="4"/>
  <c r="P45" i="4"/>
  <c r="Z41" i="4"/>
  <c r="V41" i="4"/>
  <c r="R41" i="4"/>
  <c r="N41" i="4"/>
  <c r="J41" i="4"/>
  <c r="F41" i="4"/>
  <c r="Z40" i="4"/>
  <c r="X40" i="4"/>
  <c r="W40" i="4"/>
  <c r="V40" i="4"/>
  <c r="Y40" i="4" s="1"/>
  <c r="T40" i="4"/>
  <c r="S40" i="4"/>
  <c r="R40" i="4"/>
  <c r="Q40" i="4"/>
  <c r="P40" i="4"/>
  <c r="N40" i="4"/>
  <c r="L40" i="4"/>
  <c r="K40" i="4"/>
  <c r="J40" i="4"/>
  <c r="M40" i="4" s="1"/>
  <c r="H40" i="4"/>
  <c r="G40" i="4"/>
  <c r="F40" i="4"/>
  <c r="E40" i="4"/>
  <c r="D40" i="4"/>
  <c r="Y39" i="4"/>
  <c r="AA39" i="4" s="1"/>
  <c r="AB39" i="4" s="1"/>
  <c r="S39" i="4"/>
  <c r="U39" i="4" s="1"/>
  <c r="M39" i="4"/>
  <c r="O39" i="4" s="1"/>
  <c r="G39" i="4"/>
  <c r="I39" i="4" s="1"/>
  <c r="Y38" i="4"/>
  <c r="AA38" i="4" s="1"/>
  <c r="AB38" i="4" s="1"/>
  <c r="U38" i="4"/>
  <c r="S38" i="4"/>
  <c r="M38" i="4"/>
  <c r="O38" i="4" s="1"/>
  <c r="I38" i="4"/>
  <c r="G38" i="4"/>
  <c r="Y37" i="4"/>
  <c r="AA37" i="4" s="1"/>
  <c r="S37" i="4"/>
  <c r="U37" i="4" s="1"/>
  <c r="M37" i="4"/>
  <c r="O37" i="4" s="1"/>
  <c r="G37" i="4"/>
  <c r="I37" i="4" s="1"/>
  <c r="AA36" i="4"/>
  <c r="Y36" i="4"/>
  <c r="U36" i="4"/>
  <c r="S36" i="4"/>
  <c r="O36" i="4"/>
  <c r="M36" i="4"/>
  <c r="I36" i="4"/>
  <c r="G36" i="4"/>
  <c r="Y35" i="4"/>
  <c r="AA35" i="4" s="1"/>
  <c r="S35" i="4"/>
  <c r="U35" i="4" s="1"/>
  <c r="M35" i="4"/>
  <c r="O35" i="4" s="1"/>
  <c r="G35" i="4"/>
  <c r="I35" i="4" s="1"/>
  <c r="AA34" i="4"/>
  <c r="Y34" i="4"/>
  <c r="U34" i="4"/>
  <c r="S34" i="4"/>
  <c r="M34" i="4"/>
  <c r="O34" i="4" s="1"/>
  <c r="I34" i="4"/>
  <c r="G34" i="4"/>
  <c r="Y33" i="4"/>
  <c r="AA33" i="4" s="1"/>
  <c r="AB33" i="4" s="1"/>
  <c r="S33" i="4"/>
  <c r="U33" i="4" s="1"/>
  <c r="M33" i="4"/>
  <c r="O33" i="4" s="1"/>
  <c r="G33" i="4"/>
  <c r="I33" i="4" s="1"/>
  <c r="AA32" i="4"/>
  <c r="AB32" i="4" s="1"/>
  <c r="Y32" i="4"/>
  <c r="U32" i="4"/>
  <c r="S32" i="4"/>
  <c r="O32" i="4"/>
  <c r="M32" i="4"/>
  <c r="G32" i="4"/>
  <c r="I32" i="4" s="1"/>
  <c r="Y31" i="4"/>
  <c r="AA31" i="4" s="1"/>
  <c r="AB31" i="4" s="1"/>
  <c r="S31" i="4"/>
  <c r="U31" i="4" s="1"/>
  <c r="M31" i="4"/>
  <c r="O31" i="4" s="1"/>
  <c r="G31" i="4"/>
  <c r="I31" i="4" s="1"/>
  <c r="Y30" i="4"/>
  <c r="AA30" i="4" s="1"/>
  <c r="AB30" i="4" s="1"/>
  <c r="U30" i="4"/>
  <c r="S30" i="4"/>
  <c r="M30" i="4"/>
  <c r="O30" i="4" s="1"/>
  <c r="I30" i="4"/>
  <c r="G30" i="4"/>
  <c r="Y29" i="4"/>
  <c r="AA29" i="4" s="1"/>
  <c r="S29" i="4"/>
  <c r="U29" i="4" s="1"/>
  <c r="M29" i="4"/>
  <c r="O29" i="4" s="1"/>
  <c r="G29" i="4"/>
  <c r="I29" i="4" s="1"/>
  <c r="Z25" i="4"/>
  <c r="X25" i="4"/>
  <c r="X41" i="4" s="1"/>
  <c r="W25" i="4"/>
  <c r="W41" i="4" s="1"/>
  <c r="V25" i="4"/>
  <c r="Y25" i="4" s="1"/>
  <c r="Y41" i="4" s="1"/>
  <c r="T25" i="4"/>
  <c r="T41" i="4" s="1"/>
  <c r="S25" i="4"/>
  <c r="S41" i="4" s="1"/>
  <c r="R25" i="4"/>
  <c r="Q25" i="4"/>
  <c r="Q41" i="4" s="1"/>
  <c r="P25" i="4"/>
  <c r="P41" i="4" s="1"/>
  <c r="N25" i="4"/>
  <c r="L25" i="4"/>
  <c r="L41" i="4" s="1"/>
  <c r="K25" i="4"/>
  <c r="K41" i="4" s="1"/>
  <c r="J25" i="4"/>
  <c r="M25" i="4" s="1"/>
  <c r="M41" i="4" s="1"/>
  <c r="H25" i="4"/>
  <c r="H41" i="4" s="1"/>
  <c r="G25" i="4"/>
  <c r="G41" i="4" s="1"/>
  <c r="F25" i="4"/>
  <c r="E25" i="4"/>
  <c r="E41" i="4" s="1"/>
  <c r="D25" i="4"/>
  <c r="D41" i="4" s="1"/>
  <c r="Y24" i="4"/>
  <c r="AA24" i="4" s="1"/>
  <c r="AB24" i="4" s="1"/>
  <c r="S24" i="4"/>
  <c r="U24" i="4" s="1"/>
  <c r="M24" i="4"/>
  <c r="O24" i="4" s="1"/>
  <c r="G24" i="4"/>
  <c r="I24" i="4" s="1"/>
  <c r="Y23" i="4"/>
  <c r="AA23" i="4" s="1"/>
  <c r="AB23" i="4" s="1"/>
  <c r="U23" i="4"/>
  <c r="S23" i="4"/>
  <c r="M23" i="4"/>
  <c r="O23" i="4" s="1"/>
  <c r="I23" i="4"/>
  <c r="G23" i="4"/>
  <c r="Y22" i="4"/>
  <c r="AA22" i="4" s="1"/>
  <c r="U22" i="4"/>
  <c r="S22" i="4"/>
  <c r="M22" i="4"/>
  <c r="O22" i="4" s="1"/>
  <c r="I22" i="4"/>
  <c r="G22" i="4"/>
  <c r="AA21" i="4"/>
  <c r="AB21" i="4" s="1"/>
  <c r="Y21" i="4"/>
  <c r="S21" i="4"/>
  <c r="U21" i="4" s="1"/>
  <c r="O21" i="4"/>
  <c r="M21" i="4"/>
  <c r="G21" i="4"/>
  <c r="I21" i="4" s="1"/>
  <c r="AB20" i="4"/>
  <c r="AA20" i="4"/>
  <c r="Y20" i="4"/>
  <c r="S20" i="4"/>
  <c r="U20" i="4" s="1"/>
  <c r="O20" i="4"/>
  <c r="M20" i="4"/>
  <c r="G20" i="4"/>
  <c r="I20" i="4" s="1"/>
  <c r="Y19" i="4"/>
  <c r="AA19" i="4" s="1"/>
  <c r="AB19" i="4" s="1"/>
  <c r="U19" i="4"/>
  <c r="S19" i="4"/>
  <c r="M19" i="4"/>
  <c r="O19" i="4" s="1"/>
  <c r="I19" i="4"/>
  <c r="G19" i="4"/>
  <c r="Y18" i="4"/>
  <c r="AA18" i="4" s="1"/>
  <c r="U18" i="4"/>
  <c r="S18" i="4"/>
  <c r="M18" i="4"/>
  <c r="O18" i="4" s="1"/>
  <c r="I18" i="4"/>
  <c r="G18" i="4"/>
  <c r="Y17" i="4"/>
  <c r="AA17" i="4" s="1"/>
  <c r="AB17" i="4" s="1"/>
  <c r="U17" i="4"/>
  <c r="S17" i="4"/>
  <c r="M17" i="4"/>
  <c r="O17" i="4" s="1"/>
  <c r="I17" i="4"/>
  <c r="G17" i="4"/>
  <c r="AA16" i="4"/>
  <c r="Y16" i="4"/>
  <c r="S16" i="4"/>
  <c r="U16" i="4" s="1"/>
  <c r="O16" i="4"/>
  <c r="M16" i="4"/>
  <c r="G16" i="4"/>
  <c r="I16" i="4" s="1"/>
  <c r="AB15" i="4"/>
  <c r="AA15" i="4"/>
  <c r="Y15" i="4"/>
  <c r="S15" i="4"/>
  <c r="U15" i="4" s="1"/>
  <c r="O15" i="4"/>
  <c r="M15" i="4"/>
  <c r="G15" i="4"/>
  <c r="I15" i="4" s="1"/>
  <c r="U25" i="4" l="1"/>
  <c r="I40" i="4"/>
  <c r="U40" i="4"/>
  <c r="I25" i="4"/>
  <c r="I41" i="4" s="1"/>
  <c r="I42" i="4" s="1"/>
  <c r="AA25" i="4"/>
  <c r="O25" i="4"/>
  <c r="AB22" i="4"/>
  <c r="AB29" i="4"/>
  <c r="AB34" i="4"/>
  <c r="AB35" i="4"/>
  <c r="O40" i="4"/>
  <c r="AA40" i="4"/>
  <c r="AB37" i="4"/>
  <c r="AB16" i="4"/>
  <c r="AB36" i="4"/>
  <c r="AB40" i="4" l="1"/>
  <c r="O41" i="4"/>
  <c r="O42" i="4" s="1"/>
  <c r="AA41" i="4"/>
  <c r="AB25" i="4"/>
  <c r="U41" i="4"/>
  <c r="U42" i="4" s="1"/>
  <c r="AA42" i="4" l="1"/>
  <c r="AB42" i="4" s="1"/>
  <c r="AB41" i="4"/>
  <c r="Y57" i="3" l="1"/>
  <c r="S57" i="3"/>
  <c r="M57" i="3"/>
  <c r="G57" i="3"/>
  <c r="Y56" i="3"/>
  <c r="S56" i="3"/>
  <c r="M56" i="3"/>
  <c r="G56" i="3"/>
  <c r="Y55" i="3"/>
  <c r="S55" i="3"/>
  <c r="M55" i="3"/>
  <c r="G55" i="3"/>
  <c r="Y54" i="3"/>
  <c r="S54" i="3"/>
  <c r="M54" i="3"/>
  <c r="G54" i="3"/>
  <c r="Y53" i="3"/>
  <c r="S53" i="3"/>
  <c r="M53" i="3"/>
  <c r="G53" i="3"/>
  <c r="Z42" i="3"/>
  <c r="X42" i="3"/>
  <c r="W42" i="3"/>
  <c r="Y42" i="3" s="1"/>
  <c r="V42" i="3"/>
  <c r="T42" i="3"/>
  <c r="S42" i="3"/>
  <c r="R42" i="3"/>
  <c r="Q42" i="3"/>
  <c r="P42" i="3"/>
  <c r="N42" i="3"/>
  <c r="L42" i="3"/>
  <c r="K42" i="3"/>
  <c r="M42" i="3" s="1"/>
  <c r="J42" i="3"/>
  <c r="H42" i="3"/>
  <c r="G42" i="3"/>
  <c r="F42" i="3"/>
  <c r="E42" i="3"/>
  <c r="D42" i="3"/>
  <c r="AB41" i="3"/>
  <c r="Y41" i="3"/>
  <c r="AA41" i="3" s="1"/>
  <c r="S41" i="3"/>
  <c r="U41" i="3" s="1"/>
  <c r="M41" i="3"/>
  <c r="O41" i="3" s="1"/>
  <c r="G41" i="3"/>
  <c r="I41" i="3" s="1"/>
  <c r="Y40" i="3"/>
  <c r="AA40" i="3" s="1"/>
  <c r="U40" i="3"/>
  <c r="O40" i="3"/>
  <c r="M40" i="3"/>
  <c r="G40" i="3"/>
  <c r="I40" i="3" s="1"/>
  <c r="Y39" i="3"/>
  <c r="AA39" i="3" s="1"/>
  <c r="AB39" i="3" s="1"/>
  <c r="S39" i="3"/>
  <c r="U39" i="3" s="1"/>
  <c r="M39" i="3"/>
  <c r="O39" i="3" s="1"/>
  <c r="G39" i="3"/>
  <c r="I39" i="3" s="1"/>
  <c r="Y38" i="3"/>
  <c r="AA38" i="3" s="1"/>
  <c r="AB38" i="3" s="1"/>
  <c r="U38" i="3"/>
  <c r="S38" i="3"/>
  <c r="M38" i="3"/>
  <c r="O38" i="3" s="1"/>
  <c r="I38" i="3"/>
  <c r="G38" i="3"/>
  <c r="Y37" i="3"/>
  <c r="AA37" i="3" s="1"/>
  <c r="S37" i="3"/>
  <c r="U37" i="3" s="1"/>
  <c r="M37" i="3"/>
  <c r="O37" i="3" s="1"/>
  <c r="O42" i="3" s="1"/>
  <c r="G37" i="3"/>
  <c r="I37" i="3" s="1"/>
  <c r="AA36" i="3"/>
  <c r="Y36" i="3"/>
  <c r="S36" i="3"/>
  <c r="U36" i="3" s="1"/>
  <c r="O36" i="3"/>
  <c r="M36" i="3"/>
  <c r="G36" i="3"/>
  <c r="I36" i="3" s="1"/>
  <c r="Y35" i="3"/>
  <c r="AA35" i="3" s="1"/>
  <c r="AB35" i="3" s="1"/>
  <c r="S35" i="3"/>
  <c r="U35" i="3" s="1"/>
  <c r="M35" i="3"/>
  <c r="O35" i="3" s="1"/>
  <c r="G35" i="3"/>
  <c r="I35" i="3" s="1"/>
  <c r="Y34" i="3"/>
  <c r="AA34" i="3" s="1"/>
  <c r="AB34" i="3" s="1"/>
  <c r="U34" i="3"/>
  <c r="S34" i="3"/>
  <c r="M34" i="3"/>
  <c r="O34" i="3" s="1"/>
  <c r="I34" i="3"/>
  <c r="G34" i="3"/>
  <c r="Y33" i="3"/>
  <c r="AA33" i="3" s="1"/>
  <c r="S33" i="3"/>
  <c r="U33" i="3" s="1"/>
  <c r="M33" i="3"/>
  <c r="O33" i="3" s="1"/>
  <c r="G33" i="3"/>
  <c r="I33" i="3" s="1"/>
  <c r="Y32" i="3"/>
  <c r="AA32" i="3" s="1"/>
  <c r="S32" i="3"/>
  <c r="U32" i="3" s="1"/>
  <c r="M32" i="3"/>
  <c r="O32" i="3" s="1"/>
  <c r="G32" i="3"/>
  <c r="I32" i="3" s="1"/>
  <c r="Y31" i="3"/>
  <c r="AA31" i="3" s="1"/>
  <c r="S31" i="3"/>
  <c r="U31" i="3" s="1"/>
  <c r="M31" i="3"/>
  <c r="O31" i="3" s="1"/>
  <c r="G31" i="3"/>
  <c r="I31" i="3" s="1"/>
  <c r="AA30" i="3"/>
  <c r="AB30" i="3" s="1"/>
  <c r="Y30" i="3"/>
  <c r="S30" i="3"/>
  <c r="U30" i="3" s="1"/>
  <c r="O30" i="3"/>
  <c r="M30" i="3"/>
  <c r="G30" i="3"/>
  <c r="I30" i="3" s="1"/>
  <c r="AB29" i="3"/>
  <c r="Y29" i="3"/>
  <c r="AA29" i="3" s="1"/>
  <c r="S29" i="3"/>
  <c r="U29" i="3" s="1"/>
  <c r="M29" i="3"/>
  <c r="O29" i="3" s="1"/>
  <c r="G29" i="3"/>
  <c r="I29" i="3" s="1"/>
  <c r="Y28" i="3"/>
  <c r="AA28" i="3" s="1"/>
  <c r="U28" i="3"/>
  <c r="S28" i="3"/>
  <c r="M28" i="3"/>
  <c r="O28" i="3" s="1"/>
  <c r="I28" i="3"/>
  <c r="G28" i="3"/>
  <c r="Z24" i="3"/>
  <c r="Z43" i="3" s="1"/>
  <c r="X24" i="3"/>
  <c r="X43" i="3" s="1"/>
  <c r="W24" i="3"/>
  <c r="W43" i="3" s="1"/>
  <c r="V24" i="3"/>
  <c r="T24" i="3"/>
  <c r="T43" i="3" s="1"/>
  <c r="R24" i="3"/>
  <c r="Q24" i="3"/>
  <c r="Q43" i="3" s="1"/>
  <c r="P24" i="3"/>
  <c r="P43" i="3" s="1"/>
  <c r="N24" i="3"/>
  <c r="N43" i="3" s="1"/>
  <c r="L24" i="3"/>
  <c r="L43" i="3" s="1"/>
  <c r="K24" i="3"/>
  <c r="K43" i="3" s="1"/>
  <c r="J24" i="3"/>
  <c r="H24" i="3"/>
  <c r="H43" i="3" s="1"/>
  <c r="F24" i="3"/>
  <c r="E24" i="3"/>
  <c r="E43" i="3" s="1"/>
  <c r="D24" i="3"/>
  <c r="D43" i="3" s="1"/>
  <c r="AA23" i="3"/>
  <c r="AB23" i="3" s="1"/>
  <c r="Y23" i="3"/>
  <c r="S23" i="3"/>
  <c r="U23" i="3" s="1"/>
  <c r="O23" i="3"/>
  <c r="M23" i="3"/>
  <c r="G23" i="3"/>
  <c r="I23" i="3" s="1"/>
  <c r="Y22" i="3"/>
  <c r="AA22" i="3" s="1"/>
  <c r="AB22" i="3" s="1"/>
  <c r="S22" i="3"/>
  <c r="U22" i="3" s="1"/>
  <c r="M22" i="3"/>
  <c r="O22" i="3" s="1"/>
  <c r="G22" i="3"/>
  <c r="I22" i="3" s="1"/>
  <c r="Y21" i="3"/>
  <c r="AA21" i="3" s="1"/>
  <c r="AB21" i="3" s="1"/>
  <c r="U21" i="3"/>
  <c r="S21" i="3"/>
  <c r="M21" i="3"/>
  <c r="O21" i="3" s="1"/>
  <c r="I21" i="3"/>
  <c r="G21" i="3"/>
  <c r="Y20" i="3"/>
  <c r="AA20" i="3" s="1"/>
  <c r="AB20" i="3" s="1"/>
  <c r="S20" i="3"/>
  <c r="U20" i="3" s="1"/>
  <c r="M20" i="3"/>
  <c r="O20" i="3" s="1"/>
  <c r="G20" i="3"/>
  <c r="I20" i="3" s="1"/>
  <c r="AA19" i="3"/>
  <c r="AB19" i="3" s="1"/>
  <c r="S19" i="3"/>
  <c r="U19" i="3" s="1"/>
  <c r="M19" i="3"/>
  <c r="O19" i="3" s="1"/>
  <c r="G19" i="3"/>
  <c r="I19" i="3" s="1"/>
  <c r="AA18" i="3"/>
  <c r="AB18" i="3" s="1"/>
  <c r="Y18" i="3"/>
  <c r="S18" i="3"/>
  <c r="U18" i="3" s="1"/>
  <c r="O18" i="3"/>
  <c r="M18" i="3"/>
  <c r="G18" i="3"/>
  <c r="I18" i="3" s="1"/>
  <c r="Y17" i="3"/>
  <c r="AA17" i="3" s="1"/>
  <c r="AB17" i="3" s="1"/>
  <c r="S17" i="3"/>
  <c r="U17" i="3" s="1"/>
  <c r="M17" i="3"/>
  <c r="O17" i="3" s="1"/>
  <c r="G17" i="3"/>
  <c r="I17" i="3" s="1"/>
  <c r="Y16" i="3"/>
  <c r="AA16" i="3" s="1"/>
  <c r="AB16" i="3" s="1"/>
  <c r="U16" i="3"/>
  <c r="S16" i="3"/>
  <c r="M16" i="3"/>
  <c r="O16" i="3" s="1"/>
  <c r="I16" i="3"/>
  <c r="G16" i="3"/>
  <c r="Y15" i="3"/>
  <c r="AA15" i="3" s="1"/>
  <c r="S15" i="3"/>
  <c r="U15" i="3" s="1"/>
  <c r="M15" i="3"/>
  <c r="O15" i="3" s="1"/>
  <c r="O24" i="3" s="1"/>
  <c r="G15" i="3"/>
  <c r="I15" i="3" s="1"/>
  <c r="I24" i="3" s="1"/>
  <c r="F43" i="3" l="1"/>
  <c r="G24" i="3"/>
  <c r="G43" i="3" s="1"/>
  <c r="O43" i="3"/>
  <c r="O44" i="3" s="1"/>
  <c r="S24" i="3"/>
  <c r="S43" i="3" s="1"/>
  <c r="R43" i="3"/>
  <c r="I42" i="3"/>
  <c r="I43" i="3" s="1"/>
  <c r="I44" i="3" s="1"/>
  <c r="U24" i="3"/>
  <c r="U43" i="3" s="1"/>
  <c r="U44" i="3" s="1"/>
  <c r="M24" i="3"/>
  <c r="M43" i="3" s="1"/>
  <c r="J43" i="3"/>
  <c r="Y24" i="3"/>
  <c r="Y43" i="3" s="1"/>
  <c r="V43" i="3"/>
  <c r="AB33" i="3"/>
  <c r="U42" i="3"/>
  <c r="AA24" i="3"/>
  <c r="AB15" i="3"/>
  <c r="AB28" i="3"/>
  <c r="AB36" i="3"/>
  <c r="AA42" i="3"/>
  <c r="AB42" i="3" s="1"/>
  <c r="AB37" i="3"/>
  <c r="AB24" i="3" l="1"/>
  <c r="AA43" i="3"/>
  <c r="AA44" i="3" l="1"/>
  <c r="AB44" i="3" s="1"/>
  <c r="AB43" i="3"/>
  <c r="Y54" i="2" l="1"/>
  <c r="S54" i="2"/>
  <c r="M54" i="2"/>
  <c r="G54" i="2"/>
  <c r="Y53" i="2"/>
  <c r="S53" i="2"/>
  <c r="M53" i="2"/>
  <c r="G53" i="2"/>
  <c r="Y52" i="2"/>
  <c r="S52" i="2"/>
  <c r="M52" i="2"/>
  <c r="G52" i="2"/>
  <c r="Y51" i="2"/>
  <c r="S51" i="2"/>
  <c r="M51" i="2"/>
  <c r="G51" i="2"/>
  <c r="Y50" i="2"/>
  <c r="S50" i="2"/>
  <c r="M50" i="2"/>
  <c r="G50" i="2"/>
  <c r="X40" i="2"/>
  <c r="T40" i="2"/>
  <c r="P40" i="2"/>
  <c r="H40" i="2"/>
  <c r="E40" i="2"/>
  <c r="D40" i="2"/>
  <c r="Z39" i="2"/>
  <c r="X39" i="2"/>
  <c r="W39" i="2"/>
  <c r="V39" i="2"/>
  <c r="Y39" i="2" s="1"/>
  <c r="T39" i="2"/>
  <c r="R39" i="2"/>
  <c r="Q39" i="2"/>
  <c r="S39" i="2" s="1"/>
  <c r="P39" i="2"/>
  <c r="N39" i="2"/>
  <c r="K39" i="2"/>
  <c r="J39" i="2"/>
  <c r="H39" i="2"/>
  <c r="F39" i="2"/>
  <c r="E39" i="2"/>
  <c r="G39" i="2" s="1"/>
  <c r="D39" i="2"/>
  <c r="AA38" i="2"/>
  <c r="AB38" i="2" s="1"/>
  <c r="Y38" i="2"/>
  <c r="S38" i="2"/>
  <c r="U38" i="2" s="1"/>
  <c r="O38" i="2"/>
  <c r="M38" i="2"/>
  <c r="G38" i="2"/>
  <c r="I38" i="2" s="1"/>
  <c r="AB37" i="2"/>
  <c r="AA37" i="2"/>
  <c r="Y37" i="2"/>
  <c r="S37" i="2"/>
  <c r="U37" i="2" s="1"/>
  <c r="O37" i="2"/>
  <c r="M37" i="2"/>
  <c r="G37" i="2"/>
  <c r="I37" i="2" s="1"/>
  <c r="Y36" i="2"/>
  <c r="AA36" i="2" s="1"/>
  <c r="U36" i="2"/>
  <c r="S36" i="2"/>
  <c r="M36" i="2"/>
  <c r="O36" i="2" s="1"/>
  <c r="I36" i="2"/>
  <c r="G36" i="2"/>
  <c r="Y35" i="2"/>
  <c r="AA35" i="2" s="1"/>
  <c r="U35" i="2"/>
  <c r="U39" i="2" s="1"/>
  <c r="S35" i="2"/>
  <c r="M35" i="2"/>
  <c r="O35" i="2" s="1"/>
  <c r="I35" i="2"/>
  <c r="G35" i="2"/>
  <c r="AA34" i="2"/>
  <c r="AB34" i="2" s="1"/>
  <c r="Y34" i="2"/>
  <c r="S34" i="2"/>
  <c r="U34" i="2" s="1"/>
  <c r="O34" i="2"/>
  <c r="M34" i="2"/>
  <c r="G34" i="2"/>
  <c r="I34" i="2" s="1"/>
  <c r="AA33" i="2"/>
  <c r="Y33" i="2"/>
  <c r="S33" i="2"/>
  <c r="U33" i="2" s="1"/>
  <c r="P33" i="2"/>
  <c r="M33" i="2"/>
  <c r="O33" i="2" s="1"/>
  <c r="AB33" i="2" s="1"/>
  <c r="I33" i="2"/>
  <c r="G33" i="2"/>
  <c r="Y32" i="2"/>
  <c r="AA32" i="2" s="1"/>
  <c r="U32" i="2"/>
  <c r="S32" i="2"/>
  <c r="M32" i="2"/>
  <c r="O32" i="2" s="1"/>
  <c r="L32" i="2"/>
  <c r="L39" i="2" s="1"/>
  <c r="L40" i="2" s="1"/>
  <c r="K32" i="2"/>
  <c r="J32" i="2"/>
  <c r="I32" i="2"/>
  <c r="G32" i="2"/>
  <c r="Y31" i="2"/>
  <c r="AA31" i="2" s="1"/>
  <c r="U31" i="2"/>
  <c r="S31" i="2"/>
  <c r="M31" i="2"/>
  <c r="O31" i="2" s="1"/>
  <c r="I31" i="2"/>
  <c r="G31" i="2"/>
  <c r="AA30" i="2"/>
  <c r="AB30" i="2" s="1"/>
  <c r="Y30" i="2"/>
  <c r="S30" i="2"/>
  <c r="U30" i="2" s="1"/>
  <c r="O30" i="2"/>
  <c r="M30" i="2"/>
  <c r="G30" i="2"/>
  <c r="I30" i="2" s="1"/>
  <c r="AB29" i="2"/>
  <c r="AA29" i="2"/>
  <c r="Y29" i="2"/>
  <c r="S29" i="2"/>
  <c r="U29" i="2" s="1"/>
  <c r="O29" i="2"/>
  <c r="M29" i="2"/>
  <c r="G29" i="2"/>
  <c r="I29" i="2" s="1"/>
  <c r="Y28" i="2"/>
  <c r="AA28" i="2" s="1"/>
  <c r="AB28" i="2" s="1"/>
  <c r="U28" i="2"/>
  <c r="S28" i="2"/>
  <c r="M28" i="2"/>
  <c r="O28" i="2" s="1"/>
  <c r="I28" i="2"/>
  <c r="G28" i="2"/>
  <c r="Z24" i="2"/>
  <c r="Z40" i="2" s="1"/>
  <c r="X24" i="2"/>
  <c r="W24" i="2"/>
  <c r="W40" i="2" s="1"/>
  <c r="V24" i="2"/>
  <c r="Y24" i="2" s="1"/>
  <c r="T24" i="2"/>
  <c r="R24" i="2"/>
  <c r="R40" i="2" s="1"/>
  <c r="P24" i="2"/>
  <c r="N24" i="2"/>
  <c r="N40" i="2" s="1"/>
  <c r="L24" i="2"/>
  <c r="K24" i="2"/>
  <c r="K40" i="2" s="1"/>
  <c r="J24" i="2"/>
  <c r="M24" i="2" s="1"/>
  <c r="H24" i="2"/>
  <c r="F24" i="2"/>
  <c r="F40" i="2" s="1"/>
  <c r="E24" i="2"/>
  <c r="G24" i="2" s="1"/>
  <c r="G40" i="2" s="1"/>
  <c r="D24" i="2"/>
  <c r="AA23" i="2"/>
  <c r="AB23" i="2" s="1"/>
  <c r="Y23" i="2"/>
  <c r="S23" i="2"/>
  <c r="U23" i="2" s="1"/>
  <c r="O23" i="2"/>
  <c r="M23" i="2"/>
  <c r="G23" i="2"/>
  <c r="I23" i="2" s="1"/>
  <c r="AB22" i="2"/>
  <c r="AA22" i="2"/>
  <c r="Y22" i="2"/>
  <c r="S22" i="2"/>
  <c r="U22" i="2" s="1"/>
  <c r="O22" i="2"/>
  <c r="M22" i="2"/>
  <c r="G22" i="2"/>
  <c r="I22" i="2" s="1"/>
  <c r="Y21" i="2"/>
  <c r="AA21" i="2" s="1"/>
  <c r="AB21" i="2" s="1"/>
  <c r="U21" i="2"/>
  <c r="S21" i="2"/>
  <c r="M21" i="2"/>
  <c r="O21" i="2" s="1"/>
  <c r="I21" i="2"/>
  <c r="G21" i="2"/>
  <c r="Y20" i="2"/>
  <c r="AA20" i="2" s="1"/>
  <c r="U20" i="2"/>
  <c r="S20" i="2"/>
  <c r="M20" i="2"/>
  <c r="O20" i="2" s="1"/>
  <c r="I20" i="2"/>
  <c r="G20" i="2"/>
  <c r="AA19" i="2"/>
  <c r="AB19" i="2" s="1"/>
  <c r="Y19" i="2"/>
  <c r="S19" i="2"/>
  <c r="U19" i="2" s="1"/>
  <c r="O19" i="2"/>
  <c r="M19" i="2"/>
  <c r="G19" i="2"/>
  <c r="I19" i="2" s="1"/>
  <c r="AA18" i="2"/>
  <c r="Y18" i="2"/>
  <c r="S18" i="2"/>
  <c r="U18" i="2" s="1"/>
  <c r="Q18" i="2"/>
  <c r="Q24" i="2" s="1"/>
  <c r="M18" i="2"/>
  <c r="O18" i="2" s="1"/>
  <c r="AB18" i="2" s="1"/>
  <c r="I18" i="2"/>
  <c r="G18" i="2"/>
  <c r="E18" i="2"/>
  <c r="AA17" i="2"/>
  <c r="AB17" i="2" s="1"/>
  <c r="Y17" i="2"/>
  <c r="S17" i="2"/>
  <c r="U17" i="2" s="1"/>
  <c r="O17" i="2"/>
  <c r="M17" i="2"/>
  <c r="G17" i="2"/>
  <c r="I17" i="2" s="1"/>
  <c r="AB16" i="2"/>
  <c r="AA16" i="2"/>
  <c r="Y16" i="2"/>
  <c r="S16" i="2"/>
  <c r="U16" i="2" s="1"/>
  <c r="O16" i="2"/>
  <c r="M16" i="2"/>
  <c r="G16" i="2"/>
  <c r="I16" i="2" s="1"/>
  <c r="Y15" i="2"/>
  <c r="AA15" i="2" s="1"/>
  <c r="U15" i="2"/>
  <c r="U24" i="2" s="1"/>
  <c r="U40" i="2" s="1"/>
  <c r="U41" i="2" s="1"/>
  <c r="S15" i="2"/>
  <c r="M15" i="2"/>
  <c r="O15" i="2" s="1"/>
  <c r="O24" i="2" s="1"/>
  <c r="I15" i="2"/>
  <c r="G15" i="2"/>
  <c r="AB20" i="2" l="1"/>
  <c r="AB32" i="2"/>
  <c r="O39" i="2"/>
  <c r="O40" i="2" s="1"/>
  <c r="O41" i="2" s="1"/>
  <c r="S24" i="2"/>
  <c r="S40" i="2" s="1"/>
  <c r="Q40" i="2"/>
  <c r="AB36" i="2"/>
  <c r="I24" i="2"/>
  <c r="AB15" i="2"/>
  <c r="AA24" i="2"/>
  <c r="Y40" i="2"/>
  <c r="AB31" i="2"/>
  <c r="I39" i="2"/>
  <c r="AB35" i="2"/>
  <c r="AA39" i="2"/>
  <c r="M39" i="2"/>
  <c r="M40" i="2" s="1"/>
  <c r="J40" i="2"/>
  <c r="V40" i="2"/>
  <c r="AB39" i="2" l="1"/>
  <c r="I40" i="2"/>
  <c r="I41" i="2" s="1"/>
  <c r="AA40" i="2"/>
  <c r="AB24" i="2"/>
  <c r="AA41" i="2" l="1"/>
  <c r="AB41" i="2" s="1"/>
  <c r="AB40" i="2"/>
</calcChain>
</file>

<file path=xl/comments1.xml><?xml version="1.0" encoding="utf-8"?>
<comments xmlns="http://schemas.openxmlformats.org/spreadsheetml/2006/main">
  <authors>
    <author>vbuchtova</author>
  </authors>
  <commentList>
    <comment ref="V16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rozpuštěno UZB 704 , spoluúčast OP JAK II v částce 74,2 tisíc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701,702,703,704
</t>
        </r>
      </text>
    </comment>
    <comment ref="V17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701 a UZ 706
</t>
        </r>
      </text>
    </comment>
    <comment ref="W19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+ personální kapacita + šablony 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úroky </t>
        </r>
      </text>
    </comment>
    <comment ref="V30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- učebnice a učební pomůcky ONIV + 500 Z UZ 707
100 tis. menstruační vložky 
+50 tis. UZ 706</t>
        </r>
      </text>
    </comment>
    <comment ref="P33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701+702 : 124 tis.+70 tis</t>
        </r>
      </text>
    </comment>
    <comment ref="V33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701+702 : 124 tis.+70 tis</t>
        </r>
      </text>
    </comment>
    <comment ref="V34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707 + UZ 701 130,3
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SP+ZP z UZ 701 a 702</t>
        </r>
      </text>
    </comment>
    <comment ref="P36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SP + ZP Z UZB 701+702
</t>
        </r>
      </text>
    </comment>
    <comment ref="V36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UZ 707 + UZ 701 44,1,</t>
        </r>
      </text>
    </comment>
    <comment ref="W36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OP JAK, SR, OPST 
165,5, 9983,8, 344,1</t>
        </r>
      </text>
    </comment>
    <comment ref="Q39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úprava zaokrouhlování na výsledovku - nedá se přesně když na tísíce
</t>
        </r>
      </text>
    </comment>
    <comment ref="V39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FKSP + ONIV vyjma 501 -ičebnice 
+FKSP z UZ 707 a  ONIV 558
UZ 701 FKSP 1,3</t>
        </r>
      </text>
    </comment>
    <comment ref="W39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OP JAK , OPST, SR
6,6, + 10,3 + 295,4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Adamová - 0,1 doplněno zkreslení zaokrouhlováním na tisíce </t>
        </r>
      </text>
    </comment>
    <comment ref="W45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není zpracováno navýšení za výzvu 92 - učebny přírodních věd - zpracovává odbor internmího auditu
</t>
        </r>
      </text>
    </comment>
    <comment ref="Y61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minimální mzdy 
+ dohody
</t>
        </r>
      </text>
    </comment>
    <comment ref="AD61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minimální mzdy s odvody 
+ dohody</t>
        </r>
      </text>
    </comment>
    <comment ref="Y67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po opravě odpočet z odměn, prvotní podklad s chybou
</t>
        </r>
      </text>
    </comment>
    <comment ref="AB69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oprava výpočtu odměn po jednání 11.9.2025</t>
        </r>
      </text>
    </comment>
  </commentList>
</comments>
</file>

<file path=xl/sharedStrings.xml><?xml version="1.0" encoding="utf-8"?>
<sst xmlns="http://schemas.openxmlformats.org/spreadsheetml/2006/main" count="3977" uniqueCount="340">
  <si>
    <t>Návrh rozpočtu 2026</t>
  </si>
  <si>
    <t>Název organizace:</t>
  </si>
  <si>
    <t>Chomutovská knihovna, příspěvková organizace</t>
  </si>
  <si>
    <t>IČO:</t>
  </si>
  <si>
    <t>00360589</t>
  </si>
  <si>
    <t>Sídlo:</t>
  </si>
  <si>
    <t>Palackého 4995, 430 01 Chomutov</t>
  </si>
  <si>
    <t xml:space="preserve">Poř.č. řádku </t>
  </si>
  <si>
    <t>Ukazatel</t>
  </si>
  <si>
    <t>Skutečnost k 31.12.2024</t>
  </si>
  <si>
    <t>Schválený rozpočet (plán NaV 2025)</t>
  </si>
  <si>
    <t>Skutečnost k 30.6.2025</t>
  </si>
  <si>
    <t>Plán 2026 (návrh rozpočtu organizace)</t>
  </si>
  <si>
    <t>Porovnání s rokem 2023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</si>
  <si>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</si>
  <si>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</si>
  <si>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</si>
  <si>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</si>
  <si>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</si>
  <si>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</si>
  <si>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</si>
  <si>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</si>
  <si>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</si>
  <si>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</si>
  <si>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</si>
  <si>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</si>
  <si>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</si>
  <si>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</si>
  <si>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</si>
  <si>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</si>
  <si>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</si>
  <si>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</si>
  <si>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</si>
  <si>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</si>
  <si>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</si>
  <si>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</si>
  <si>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</si>
  <si>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</si>
  <si>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</si>
  <si>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</si>
  <si>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</si>
  <si>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</si>
  <si>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</si>
  <si>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</si>
  <si>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</si>
  <si>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</si>
  <si>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</si>
  <si>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</si>
  <si>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</si>
  <si>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</si>
  <si>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</si>
  <si>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</si>
  <si>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</si>
  <si>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</si>
  <si>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</si>
  <si>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</si>
  <si>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</si>
  <si>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</si>
  <si>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</si>
  <si>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</si>
  <si>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</si>
  <si>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</si>
  <si>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</si>
  <si>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</si>
  <si>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</si>
  <si>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</si>
  <si>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</si>
  <si>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</si>
  <si>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</si>
  <si>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</si>
  <si>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</si>
  <si>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</si>
  <si>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</si>
  <si>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</si>
  <si>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</si>
  <si>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</si>
  <si>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</si>
  <si>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</si>
  <si>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</si>
  <si>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</si>
  <si>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</si>
  <si>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</si>
  <si>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</si>
  <si>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</si>
  <si>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</si>
  <si>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</si>
  <si>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</si>
  <si>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</si>
  <si>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</si>
  <si>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</si>
  <si>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</si>
  <si>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</si>
  <si>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</si>
  <si>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</si>
  <si>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</si>
  <si>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</si>
  <si>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</si>
  <si>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</si>
  <si>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</si>
  <si>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</si>
  <si>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</si>
  <si>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</si>
  <si>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</si>
  <si>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</si>
  <si>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Dne:</t>
  </si>
  <si>
    <t xml:space="preserve">Sestavil: </t>
  </si>
  <si>
    <t>Ing. Martina Marešová</t>
  </si>
  <si>
    <t xml:space="preserve">Schválil: </t>
  </si>
  <si>
    <t>Mgr. Bedřich Fryč</t>
  </si>
  <si>
    <t>Podpis:</t>
  </si>
  <si>
    <t>Městské lesy Chomutov, příspěvková organizace</t>
  </si>
  <si>
    <t>Hora Svatého Šebestiána 90, 431 82</t>
  </si>
  <si>
    <t>Prodané zboží</t>
  </si>
  <si>
    <t>Aktivace oběžného majetku</t>
  </si>
  <si>
    <t>22.</t>
  </si>
  <si>
    <t>Tvorba a zúčtování rezerv</t>
  </si>
  <si>
    <t>24.</t>
  </si>
  <si>
    <t>27.</t>
  </si>
  <si>
    <t>Ing. Veronika Purkrábek, ekonom</t>
  </si>
  <si>
    <t>Petr Markes, ředitel</t>
  </si>
  <si>
    <t>Mateřská škola Chomutov, příspěvková organizace</t>
  </si>
  <si>
    <t>Jiráskova 4335, 430 03  Chomutov</t>
  </si>
  <si>
    <t>Upravený rozpočet (k 30.6.2025)</t>
  </si>
  <si>
    <t>Neinvestiční příspěvek zřizovatele - zřizovatelské funkce</t>
  </si>
  <si>
    <t>Účel. Přísp. zřizovatele (s vyúčtováním) - granty OŠ, OE</t>
  </si>
  <si>
    <t>3.a</t>
  </si>
  <si>
    <t>Účel. přísp. zřizovatele - nepedagogičtí pracovníci + ONIV - ÚZ 707</t>
  </si>
  <si>
    <t>v tom:  platy zaměstnanců</t>
  </si>
  <si>
    <t>- celá organizace</t>
  </si>
  <si>
    <t>- z toho nepedagogiští pracovníci</t>
  </si>
  <si>
    <t>Limit mzdových prostředků (nepedagogičtí prac.)</t>
  </si>
  <si>
    <t>2026   - ÚZ 707 - nepedagogičtí pracovníci + ONIV</t>
  </si>
  <si>
    <t>Plán 2026</t>
  </si>
  <si>
    <t>Objem</t>
  </si>
  <si>
    <t>- platy nepedagogických pracovníků</t>
  </si>
  <si>
    <t>Osobní příplatky</t>
  </si>
  <si>
    <t>- odvody sociálního a zdravotního pojištění</t>
  </si>
  <si>
    <t>Příplatky za vedení</t>
  </si>
  <si>
    <t>- ostatní osobní náklady (DPP, DPČ, aj.)</t>
  </si>
  <si>
    <t>Odměny</t>
  </si>
  <si>
    <t>- příděl do FKSP</t>
  </si>
  <si>
    <t>- ONIV</t>
  </si>
  <si>
    <t>a) výdaje na učební pomůcky, školní potřeby a učebnice</t>
  </si>
  <si>
    <t>b) výdaje na další vzdělávání pedagogických pracovníků</t>
  </si>
  <si>
    <t>c) výdaje školy na dopravu při akcích dle RVP</t>
  </si>
  <si>
    <t>d) ostatní</t>
  </si>
  <si>
    <t xml:space="preserve">Snížení provozní dotace od zřizovatele, částka na management zahrnuta v ÚZ 707. Zvýšení vlastních příjmů souvisejících s navýšením úplaty za předškolní vzdělávání od 9/2025 a s tím související zvýšení vlastních nákladů v oblasti údržby a vybavení tříd. </t>
  </si>
  <si>
    <t>Ing. Jitka Svobodová</t>
  </si>
  <si>
    <t>Bc. Eliška Smetanová</t>
  </si>
  <si>
    <t>Sociální služby Chomutov, příspěvková organizace</t>
  </si>
  <si>
    <t>Písečná 5030, 43004 Chomutov</t>
  </si>
  <si>
    <t>Rozpočet je sestaven jako vyrovnaný, předpokládané náklady jsou ve výši 184,603 mil. Kč.</t>
  </si>
  <si>
    <t>Plánovaný příspěvek zřizovatele je navýšen oproti roku 2025 o 9 % a je ve výši 30,849 mil. Kč, a to za předpokladu přiznání dotace na sociální služby (tzv. velký dotační program) ve výši 56,504 mil. Kč.</t>
  </si>
  <si>
    <t xml:space="preserve">Na provoz dětských skupin je předpokládaná dotace ze zdrojů MPSV ve výši 4,7 mil. Kč. </t>
  </si>
  <si>
    <t>Provoz azylového domu by měl být v tomto roce financován z programu POSOSUK 6 (provoz vybraných sociálních služeb) ve výši 5,917 mil. Kč.</t>
  </si>
  <si>
    <t>Od července 2025 byl zahájen provoz prádelenského provozu v nových prostorách v Kostnické ulici 4088. Ve 2.NP byly provedeny úpravy prostor pro činnost klubu seniorů (činnost bez výnosů).</t>
  </si>
  <si>
    <t>Mzdové náklady jsou plánovány ve výši 102,057 mil. Kč.</t>
  </si>
  <si>
    <t>Jsou plánovány ve výši 102,057 mil. Kč, pro rok 2025 byly nastaveny ve výši 90 mil. Kč</t>
  </si>
  <si>
    <t>Značný nárůst souvisí s předpokládaným zvýšením minimální mzdy od roku 2026, tarifním navýšením platů a pohyblivých složek platu, abychom stabilizovali personální situaci u profesí v tzv. přímé péči a obslužných profesí (úklid, stravovací provozy…).</t>
  </si>
  <si>
    <t>Dále navýšení souvisí s rozvojem organizace, především s otevřením prádelenského provozu a rozšířením pečovatelské služby.</t>
  </si>
  <si>
    <t>Vlastní výnosy očekáváme v roce 2026 ve výši 86,336 mil. Kč.</t>
  </si>
  <si>
    <t xml:space="preserve">Zvýšení činí 5,6 % nárůst proti roku 2025 (81,450 mil. Kč). Je ovlivněno zvýšením úhrad za poskytované služby dle prováděcí vyhlášky k zákonu o sociálních službách, které předpokládáme od 1. 1. 2026. </t>
  </si>
  <si>
    <t>Mgr. Eva Lhotská</t>
  </si>
  <si>
    <t>Mgr. Alena Tölgová</t>
  </si>
  <si>
    <t>Středisko volného času Domeček Chomutov, příspěvková organizace</t>
  </si>
  <si>
    <t>Jiráskova 4140, 430 03  Chomutov</t>
  </si>
  <si>
    <t>Upravený rozpočet (plán NaV 2025)</t>
  </si>
  <si>
    <t>Limit mzdových prostředků (pedagogičtí prac.)</t>
  </si>
  <si>
    <t>CELKEM limit mzdových prostředků</t>
  </si>
  <si>
    <t>- ostatní osobní náklady (DPP,DPČ aj.)</t>
  </si>
  <si>
    <t>Skutečnost k 31.12.2024 - neinvestiční příspěvek zřizovatele:</t>
  </si>
  <si>
    <t>I vzhledem ke skutečnosti, že provozní příspěvek zřizovatele za rok 2024 nám nepokryl uvedené náklady na provoz, nepožadujeme pro rok 2026 navýšení provozního příspěvku</t>
  </si>
  <si>
    <t>501 390 - věcné odměny projekty - 33.000 Kč                                               celkem materiál 33.000 Kč</t>
  </si>
  <si>
    <t>zřizovatele.</t>
  </si>
  <si>
    <t>502 330 - spotřeba energie - vodné  14.338 Kč</t>
  </si>
  <si>
    <t>502 331 - spotřeba energie - elektřina 360.313 Kč</t>
  </si>
  <si>
    <t>502 333 - spotřeba energie - teplo 659.187 Kč                                         celkem energie 1.033.839 Kč</t>
  </si>
  <si>
    <t>511 341  - opravy prostor budova - 1.000.000 Kč                                       celkem opravy - 1.000.000.Kč</t>
  </si>
  <si>
    <t>518 330 - služby pošt - 1.763 Kč</t>
  </si>
  <si>
    <t>518 332 - telefonní poplatky - 41.413 Kč</t>
  </si>
  <si>
    <t>518 334 - revize a odborné prohlídky - 49.961 Kč</t>
  </si>
  <si>
    <t>518 335 - zpracování mezd - 71.412 Kč</t>
  </si>
  <si>
    <t>518 336 - zámečnické, montážní služby apod - 91.368 Kč</t>
  </si>
  <si>
    <t>518 338 - servis PC sítě, Gordic, Domeček - 97.146 Kč</t>
  </si>
  <si>
    <t>518 339 - Konzultační, poradenské a právní služby - 41.140 Kč</t>
  </si>
  <si>
    <t>518 341 - likvidace odpadu - 13.706 Kč</t>
  </si>
  <si>
    <t>518 343 - PCOO - 14.520 Kč</t>
  </si>
  <si>
    <t>518 345 - pronájem kamerového systému - 16.698 Kč</t>
  </si>
  <si>
    <t>518 346 - kopírování - 24.200 Kč</t>
  </si>
  <si>
    <t>518 348 - nájemné (prostory pro akce školy) - 140.267 Kč</t>
  </si>
  <si>
    <t>518 353 - bankovní poplatky - 22.300 Kč</t>
  </si>
  <si>
    <t>518 355 - BPZP a PO - 19.200 Kč</t>
  </si>
  <si>
    <t xml:space="preserve">518 364 - ostatní služby - reklama, startovné, propagace - 199.899                       </t>
  </si>
  <si>
    <t>518 370 - ošetření zvířat - 1.542 Kč</t>
  </si>
  <si>
    <t>518 380 - stočné - 71.256 Kč</t>
  </si>
  <si>
    <t>518 390 - srážky - 16.001 Kč                                                                                celkem služby 933,798 Kč</t>
  </si>
  <si>
    <t>521 300 - mzdy - 101.000 Kč</t>
  </si>
  <si>
    <t>521 332 - dohody - 12.000 Kč                                                                               celkem mzdy 113.000 Kč</t>
  </si>
  <si>
    <t>524 330, 331 - ZP, SP -  34.138 Kč                                                                       celkem odvody 34.138 Kč</t>
  </si>
  <si>
    <t xml:space="preserve">527 300 - příděl FKSP - 1.010 Kč                                                                             celkem FKSP - 1.010 Kč                                                </t>
  </si>
  <si>
    <t>551 331,332 - odpisy budova, hřiště - 205.332 Kč                                         celkem odpisy 205.332 Kč</t>
  </si>
  <si>
    <t>591 300 - daň z příjmu (banka) - 16.624 Kč                                            celkem daň z příjmu 16.624 Kč</t>
  </si>
  <si>
    <t>V účetnictví proúčtováno na účet 518 364 omylem částka 65.100 Kč, tato částka nepatři do nákladů zřizovatele.</t>
  </si>
  <si>
    <t>Technické služby města Chomutova, příspěvková organizace</t>
  </si>
  <si>
    <t>náměstí 1. máje 89, 43001 Chomutov</t>
  </si>
  <si>
    <t>Návrh rozpočtu TSmCh na rok 2026 je shodný s návrhem rozpočtu na rok 2025 se započítáním nákladů  na nově požadované činnosti, nově zařazený spravovaný majetek či zákonné náklady týkající se platové oblasti - viz přiložený komentář.</t>
  </si>
  <si>
    <t>Ing. Petra Langhammerová</t>
  </si>
  <si>
    <t>Ing. Zbyněk Kolbížek</t>
  </si>
  <si>
    <t>Zoopark Chomutov, p.o.</t>
  </si>
  <si>
    <t>Přemyslova 259, Chomutov, 430 01</t>
  </si>
  <si>
    <t>Náklady na materiál, služby, opravy a energie jsou stanoveny s přihlédnutím k vývoji do 7/2025.</t>
  </si>
  <si>
    <t xml:space="preserve">V plánovaném rozpočtu na rok 2026 došlo k navýšení mzdových nákladů na 44 100 000,- Kč. </t>
  </si>
  <si>
    <t>V souvislosti se zvýšením nákladů na mzdy se zvyšuje i náklad na odvody pojistného zaměstnanců.</t>
  </si>
  <si>
    <t>Náklady na odpisy byly stanoveny na základě předpokládaného odpisového plánu, částka odpisů se zvýšila z důvodu převodu majetku z MMCH na Zoopark.</t>
  </si>
  <si>
    <t>Organizace při stanovení plánovaných výnosů vycházela z vývoje výsledků výnosů za první pololetí a průběžných výnosů do 8/2025, předpokládá navýšení tržeb o 2 mil. Kč. Tržby Zooparku a Kamencového jezera jsou plně závislé na počasí, takže může dojít jak k nárůstu, tak i bohužel k jejich snížení.</t>
  </si>
  <si>
    <t>Zúčtování 403 do výnosů - stanoveno podle plánu rozpuštění transferů pro rok 2025</t>
  </si>
  <si>
    <t>Zapojení fondů - předpoklad čerpání rezervního fondu a fondu investic</t>
  </si>
  <si>
    <t>Ostatní výnosy -   úroky z BÚ,  prodej krmiva,  přefakturace služeb nájemcům</t>
  </si>
  <si>
    <t>Dotace -  pravidelná dotace na krmivo od MŽP,  dotace na pracovní místa od úřadu práce, dotace na provoz záchranné stanice, dotace od ČSOP, projekt AVATAR a jiné případně získané dotace.</t>
  </si>
  <si>
    <t>ZÁVĚR</t>
  </si>
  <si>
    <t>ORGANIZACE NA ROK 2026 PLÁNUJE POKRYTÍ NÁKLADŮ Z VLASTNÍCH ZDROJŮ VE VÝŠI 45 %, POŽADAVEK NA PROVOZNÍ DOTACI JE 55 000 000,- Kč, COŽ PŘEDSTAVUJE NAVÝŠENÍ OPROTI ROKU 2025  O 3 000 000,-Kč</t>
  </si>
  <si>
    <t>Vaitová Eva, správce rozpočtu</t>
  </si>
  <si>
    <t>Ing. Tomáš Ondrášek, ředitel organizace</t>
  </si>
  <si>
    <t>Základní umělecká škola T. G. Masaryka Chomutov</t>
  </si>
  <si>
    <t>Náměstí T. G: Masaryka 1626, 430 01 Chomutov</t>
  </si>
  <si>
    <t>Porovnání s rokem 2025</t>
  </si>
  <si>
    <t>Porovnání s rokem 2024</t>
  </si>
  <si>
    <t xml:space="preserve"> </t>
  </si>
  <si>
    <t>v tom:    platy zaměstnanců</t>
  </si>
  <si>
    <t>Limit mzdových prostředků celkem</t>
  </si>
  <si>
    <t>- ostatní osobní nájklady (DPP, DPČ, aj.)</t>
  </si>
  <si>
    <t>Návrh rozpočtu na rok 2026 byl sestaven dle skutečnosti roku 2024, plánu na rok 2025 a dle informací známých k datu sestavení.</t>
  </si>
  <si>
    <t>Provozní příspěvek zřizovatel - škola z něj pokrývá pouze náklady na energie, odpisy a platy - DPP- projektu Akademie seniorů .</t>
  </si>
  <si>
    <t>Účelový příspěvek na platy pedagogů nerozpočtován, nevíme zda bude přidělen. Vzhledem k povinnosti zřizovatele k převzetí nákladů na platy nepedagogů a vzhledem k výši nenárokové složky, které škola obdržela a jistě i obdrží od státu na pedagogické pracovníky postrádá tento příspěvek smysl, protože práci pedsagogů lze odmětit ze státního rozpočtu.</t>
  </si>
  <si>
    <t>Platy nepedagogických pracovníků stanoveny dle tabulky projednané s OŠ.</t>
  </si>
  <si>
    <t>Ostatní transfery - platy pedagogů stanoveny dle skutečnosti s plánovaným navýšením(7%) pro rok 2026. Zvýšení o dalších 9% - v plánu na rok 2025 nezahrnut skutečný rozpočet pro rok 2025, v době sestavení nebyl znám. Porovnání plánu na rok 2026 s 2025 tedy neodpovídá skutečnosti.</t>
  </si>
  <si>
    <t>Ostatní transfery - plánované pokrytí nákladů na 3. projektové období projektu " S rozmanitými kořeny tvořit budoucnost"</t>
  </si>
  <si>
    <t>Odpisy - stanoveny dle plánu odpisů</t>
  </si>
  <si>
    <t>Vlastní výnosy - školné -  škola pro školní rok 2025/2026 neplánuje navýšení . Ze školného škola pokrývá všechny ostatní náklady na provoz školy, zejména pak na opravy a údržbu, spotřebovaný materiál, spotřebu energií, pokud nestačí provozní příspěvek,služby a ostatní provozní náklady.</t>
  </si>
  <si>
    <t>Fondy -  organizace má na fondech dostatečné množství finančních prostředků k pokrytí nepředpokládaných výkyvů i na pořízení a opravy z FRIM.</t>
  </si>
  <si>
    <t xml:space="preserve">Organizace má stabilní počet zaměstnanců. Počet žáků pro školní rok 2025/2026 výrazně neklesl ani nevzrostl. Škola má 4 přepočtené neped. zaměstnace - ekonomku, sekretářku, 1,5 uklízečky a 0,5 školníka, což jsou nejnutnější neped. zaměstnaci k zajištění řádného chodu školy a výuky.  </t>
  </si>
  <si>
    <t>Doplňková činnost - výnosy z poplatku za lektorskou činnost - Kreativní školička a Minibalet + výnosy z pronájmu nástrojů a učeben. Přímé náklady - náklady na platy pedagogů -DPP- lektorské činnostia nepřímé náklady rozpočtované dle směrnice.</t>
  </si>
  <si>
    <t>Ostatní náklady - pojištění majetku, cestovné, náklady na reprezentaci, kurzové rozdíly a jiné ostatní náklady.</t>
  </si>
  <si>
    <t>Navýšení cen energií - 2% odhad navýšení pro rok 2026 + 5% odhad navýšení - rezerva na dlouhé topné období podle topného období 2024/2025</t>
  </si>
  <si>
    <t>Bc. Lenka Maříková</t>
  </si>
  <si>
    <t>Mgr. Karel Žižka</t>
  </si>
  <si>
    <t>Základní škola a Mateřská škola, Chomutov, 17. listopadu 4728, příspěvková organizace</t>
  </si>
  <si>
    <t>17. listopadu 4728, 430 04 Chomutov</t>
  </si>
  <si>
    <t>Skutečnost 30.6.</t>
  </si>
  <si>
    <t>- z toho nepedagogičtí pracovníci</t>
  </si>
  <si>
    <t>Limit mzdových prostředků OPST</t>
  </si>
  <si>
    <t>Limit mzdových prostředků ÚZ 701</t>
  </si>
  <si>
    <t>Jana Tučková</t>
  </si>
  <si>
    <t>Mgr. Hana Horská</t>
  </si>
  <si>
    <t>Základní škola speciální a Mateřská škola Chomutov, Palachova 4881, 430 03 Chomutov, příspěvková organizace</t>
  </si>
  <si>
    <t>Palachova 4881, 430 03 Chomutov</t>
  </si>
  <si>
    <t xml:space="preserve">. </t>
  </si>
  <si>
    <t>Z důvodu rekonstrukce školní kuchyně a během realizace elektromontáží bylo nutné požádat ČEZ Distribuci, a.s. o provedení zvýšení hodnoty hlavního jističe elektřiny. Z tohoto důvodu je nutné navýšit plán nákladů elektrické energie na rok 2026.</t>
  </si>
  <si>
    <t xml:space="preserve">Prioritou je výměnu podlahové krytiny ve spojovací chodbě mezi mateřskou školou a základní školou speciální.  Koberec je v provozu od samotného vzniku budovy a jeho stav již neodpovídá požadavkům na hygienu ani bezpečnost provozu. Vzhledem k jeho stáří a míře opotřebení považujeme  výměnu za nezbatnou a velmi naléhavou. </t>
  </si>
  <si>
    <t xml:space="preserve">V rozpočtu na rok 2026 žádáme o navýšení finančních prostředků na materiální vybavení tříd speciální školy, mateřské školky a kanceláří. Stávající vybavení je z větší části zastaralé, dlouhodbě využívané již neodpovídá současným potřebám provozu školy ani hygienickým a bezpečnostním požadavkům. obměna vybavení je nezbytná pro zajištění kvalitního vzdělávacího prostředí a standartního, bezpečného prostředí pro děti i zaměstnance. </t>
  </si>
  <si>
    <t>Na základě schváleného dlouhodobého projektu a Rozhodnutí MŠMT naše škola zahajuje od 1.9.2025 do 31.8.2028 projekt OP JAK II. Trvání 36 měsíců. Celkové výši dotace 766 544,- Kč. Krajský úřad přiděluje dotaci ve výši 728 216,79 Kč a vlastní financování školy je stanoveno ve výši 5 % t.j. 38 327,21 Kč.</t>
  </si>
  <si>
    <t>Šestáková Irena</t>
  </si>
  <si>
    <t>Mgr. S e j n o v á  Jana</t>
  </si>
  <si>
    <t>Základní škola Chomutov, Akademika Heyrovského 4539</t>
  </si>
  <si>
    <t>Akademika Heyrovského 4539</t>
  </si>
  <si>
    <t>Rozpočet byl navýšen o 150 000,- Kč na odpisy majetku - pořízení dvou učeben IT a pořízení interaktivní tabule a dvou kopírovacích strojů /pořízení z IF organizace /. Dále byl navýšen o 150 000,- Kč na pojistné, které nyní platíme ve výši cca 50. 000,- Kč a bylo nám oznámeno pojišťovnou, že se pojistná částka zvedá o 400 %.</t>
  </si>
  <si>
    <t>Odpisy jsou uvedeny v přibližné částce, neboť audit SMCH od ledna 2025 opravuje odpisy budovy čp. 4359 /historická chyba/, takže letošní odvod odpisů ve schváleném rozpočtu roku 2025 je také přibližný.</t>
  </si>
  <si>
    <t>Alena Bažantová</t>
  </si>
  <si>
    <t>Mgr. Monika Margitičová</t>
  </si>
  <si>
    <t>verze po 11.9.2025</t>
  </si>
  <si>
    <t>Základní škola Chomutov, Březenecká 4679</t>
  </si>
  <si>
    <t>Březenecká 4679, Chomutov, 43004</t>
  </si>
  <si>
    <t xml:space="preserve">Plán 2026 (návrh rozpočtu organizace) </t>
  </si>
  <si>
    <r>
      <t xml:space="preserve">NÁKLADY </t>
    </r>
    <r>
      <rPr>
        <sz val="11"/>
        <rFont val="Calibri"/>
        <family val="2"/>
        <charset val="238"/>
        <scheme val="minor"/>
      </rPr>
      <t>(hrazené)</t>
    </r>
  </si>
  <si>
    <t>Limit mzdových prostředků (OPST )</t>
  </si>
  <si>
    <t>Limit mzdových prostředků UZ 701</t>
  </si>
  <si>
    <t>Objem v tis. UZ 707</t>
  </si>
  <si>
    <t>Odvod zřizovateli bez zpracované revize  auditem města</t>
  </si>
  <si>
    <t xml:space="preserve">Navýšení rozpočtu na rok 2026 ve výši 1,34% </t>
  </si>
  <si>
    <t xml:space="preserve">1. počítáno se snížením nákladů na energie díky úsporným opatřením provedeným v roce 2025 ( omezení průtoku vody u baterii, výměna většiny osvětlení, výměna regulátorů topení.) </t>
  </si>
  <si>
    <t>2. navýšení v ostatních službách a materiálu - aktualizace s přihlédnutím na skutečné čerpání k 6/2025, plus inflační faktor ( u vybraných položek)</t>
  </si>
  <si>
    <t>Bc. Michaela Adamová</t>
  </si>
  <si>
    <t>Ing. Vladimíra Milt Nováková</t>
  </si>
  <si>
    <t>Základní škola Chomutov, Hornická 4387</t>
  </si>
  <si>
    <t>Hornická 4387, Chomutov 43003</t>
  </si>
  <si>
    <t xml:space="preserve">Limit mzdových prostředků ( OPST - pedagogové </t>
  </si>
  <si>
    <t xml:space="preserve">Rezervní fond - v rezervním fondu jsou zahrnuty částky ze zlepšeného HV a z dotací NPO a Šablony I OP JAK, které nebyly vyčerpány v min. roce. </t>
  </si>
  <si>
    <t>Ing. Martina Črepová</t>
  </si>
  <si>
    <t>Mgr. Ivana Dudková</t>
  </si>
  <si>
    <t>Základní škola, Kadaňská 2334, 430 03 Chomutov</t>
  </si>
  <si>
    <t>Kadaňská 2334, 430 03 Chomutov</t>
  </si>
  <si>
    <t>Limit mzdových</t>
  </si>
  <si>
    <t>prostředků (OPST</t>
  </si>
  <si>
    <t>pedagogové)</t>
  </si>
  <si>
    <t>Novotná</t>
  </si>
  <si>
    <t>Mgr. Zahálková</t>
  </si>
  <si>
    <t>Návrh rozpočtu 2026-změna</t>
  </si>
  <si>
    <t>Základní škola Chomutov, Na Příkopech 895</t>
  </si>
  <si>
    <t>Na Příkopech 895, 430 01 Chomutov</t>
  </si>
  <si>
    <t xml:space="preserve">Služby </t>
  </si>
  <si>
    <t>Stavy fondů- RF ze zlepš.HV</t>
  </si>
  <si>
    <t>Rezervní fond-projekty</t>
  </si>
  <si>
    <t>V rozpočtu na rok 2026 je započítán projekt ERASMUS ve výši 324,4 tis Kč. Jedná se o 1. zálohu</t>
  </si>
  <si>
    <t>Marcela Moravcová</t>
  </si>
  <si>
    <t>Miloslav Hons</t>
  </si>
  <si>
    <t xml:space="preserve">Návrh rozpočtu 2026 </t>
  </si>
  <si>
    <t>Základní škola Chomutov, Písečná 5144</t>
  </si>
  <si>
    <t>Písečná 5144, 430 04 Chomutov</t>
  </si>
  <si>
    <t>Stav k 30.6.</t>
  </si>
  <si>
    <t>Rezervní fond ( RF ze zlepšeného HV + RF z ost.titulů - dotace, dary )</t>
  </si>
  <si>
    <t xml:space="preserve">       Limit mzdových prostředků OPST</t>
  </si>
  <si>
    <t xml:space="preserve">       Limit mzdových prostředků UZ 701</t>
  </si>
  <si>
    <t xml:space="preserve">       CELKEM limit mzdových prostředků </t>
  </si>
  <si>
    <t>Vzhledem k navýšení hodnoty budovy o rekonstrukci školní kuchyně ( zatím bez transferového podílu ) a předání dlouhodobého majetku bezúplatným převodem v rámci výzvy 92 ( odborné učebny cizích jazyků a přírodních věd ) došlo k navýšení odpisů ( bez transf.podílu ) pro rok 2026 v celkové hodnotě 391 571,64 Kč .</t>
  </si>
  <si>
    <t>Z toho 276 822,- činí navýšení odpisu budovy a 114 749,64 představuje navýšení odpisu dlouhodobého majetku.</t>
  </si>
  <si>
    <t>Žádáme tedy tímto o navýšení provozního rozpočtu pro rok 2026 ( a roky následující ) o částku 392 tis. Kč.</t>
  </si>
  <si>
    <t>Dle sdělení Generali Česká pojišťovna a.s., dojde u pojistné smlouvy č. 2087717794 ke změně pojistného v roce 2026. Pojistné bude pro rok 2026 navýšeno o 400 %.  Ostaní pojišťovny zatím nenabídly  nižší pojistné.</t>
  </si>
  <si>
    <t>Žádáme tedy tímto o navýšení provozního rozpočtu pro rok 2026 ( a roky následující ) o částku 150 tis. Kč.</t>
  </si>
  <si>
    <t>V tabulce stavy peněžitých fondů uvádíme v kolonce Rezervní fond jak stav,tvorbu a čerpání rezervního fondu ze zlěpšeného HV tak i fondu tvořeného z ostatních titulů ( dotace, dary ).</t>
  </si>
  <si>
    <t>Kebrlová Jana</t>
  </si>
  <si>
    <t>Mgr.Miroslav Žalud</t>
  </si>
  <si>
    <t>Základní škola Chomutov, Zahradní 5265</t>
  </si>
  <si>
    <t>Zahradní 5265, 430 04  Chomutov</t>
  </si>
  <si>
    <t>Rezervní fond ze zlepšeného HV</t>
  </si>
  <si>
    <t>Rezervní fond z ostatních titulů</t>
  </si>
  <si>
    <t>Limit mzdových prostředků (OPST- nepedagog.prac.)</t>
  </si>
  <si>
    <t>Na základě výsledku bezpečnostního auditu žádáme o zvýšení příspěvku zřizovatele pro r.2026</t>
  </si>
  <si>
    <t>Věra Čmejrková</t>
  </si>
  <si>
    <t>Mgr. Libuše Slavíková</t>
  </si>
  <si>
    <t>Základní škola Chomutov, Školní 1480</t>
  </si>
  <si>
    <t>Školní 1480/61, Chomutov, 430 01</t>
  </si>
  <si>
    <t xml:space="preserve">z toho NPO </t>
  </si>
  <si>
    <t xml:space="preserve">z toho OP JAK </t>
  </si>
  <si>
    <t>- z toho PP z OPST</t>
  </si>
  <si>
    <t>Limit mzdových prostředků (OPST - pedagogové)</t>
  </si>
  <si>
    <t>Limit mzdových prostředků celkem (NPP a PP )</t>
  </si>
  <si>
    <t>Skutečnost k 31.12.2024:  náklad ve výši 41.324,- Kč (čerpání FO ) AU 3xx - zahrnuto do nákladů i výnosů vlastních výnosů ( použitý FO), odpisy ve výši 1.434.449,26 Kč kryté účtem 403-transfer  AU 3xx - zahrnuto do nákladů i výnosů vlastní činnosti, daň z úroků ve výši 83.737,08 Kč Au 3xx - náklad vlastních zdrojů, prodej čipů 6.292,- Kč AU 3xx - zahrnuto do nákladů i výnosů vlastní činnosti.</t>
  </si>
  <si>
    <t>Navýšení provozních finančních prostředků v roce 2026 je nezbytné k tomu, aby: byla zajištěna bezpečnost a funkčnost školní budovy, mohlo dojít k postupné modernizaci a obnově zastaralého vybavení, byla vytvořena kvalitní podpora pro vzdělávání dětí odpovídající 21. století.  Díky navýšeným prostředkům bude možné zajistit lepší podmínky pro výuku, zvýšit komfort pro žáky i pedagogy.</t>
  </si>
  <si>
    <t xml:space="preserve">Edita Drexlerová </t>
  </si>
  <si>
    <t xml:space="preserve">mgr Bc. Kateřina Burket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</si>
</sst>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#,##0.0_ ;[Red]\-#,##0.0\ "/>
    <numFmt numFmtId="166" formatCode="#,##0.00_ ;[Red]\-#,##0.00\ "/>
    <numFmt numFmtId="167" formatCode="#,##0.0_ ;\-#,##0.0\ "/>
    <numFmt numFmtId="168" formatCode="0.0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780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5" fillId="2" borderId="0" xfId="0" applyFont="1" applyFill="1" applyProtection="1"/>
    <xf numFmtId="49" fontId="4" fillId="0" borderId="0" xfId="0" applyNumberFormat="1" applyFont="1" applyFill="1" applyAlignment="1" applyProtection="1">
      <alignment horizontal="left"/>
      <protection locked="0"/>
    </xf>
    <xf numFmtId="0" fontId="6" fillId="2" borderId="0" xfId="0" applyFont="1" applyFill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4" fillId="5" borderId="19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4" fontId="0" fillId="6" borderId="24" xfId="0" applyNumberFormat="1" applyFont="1" applyFill="1" applyBorder="1" applyAlignment="1" applyProtection="1">
      <alignment horizontal="right"/>
    </xf>
    <xf numFmtId="164" fontId="0" fillId="6" borderId="25" xfId="0" applyNumberFormat="1" applyFont="1" applyFill="1" applyBorder="1" applyAlignment="1" applyProtection="1">
      <alignment horizontal="right"/>
    </xf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7" xfId="0" applyNumberFormat="1" applyFont="1" applyFill="1" applyBorder="1" applyAlignment="1" applyProtection="1">
      <alignment horizontal="right"/>
      <protection locked="0"/>
    </xf>
    <xf numFmtId="164" fontId="0" fillId="0" borderId="27" xfId="0" applyNumberFormat="1" applyFont="1" applyFill="1" applyBorder="1" applyAlignment="1" applyProtection="1">
      <alignment horizontal="right"/>
    </xf>
    <xf numFmtId="10" fontId="6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4" fontId="0" fillId="7" borderId="28" xfId="0" applyNumberFormat="1" applyFont="1" applyFill="1" applyBorder="1" applyAlignment="1" applyProtection="1">
      <alignment horizontal="right"/>
      <protection locked="0"/>
    </xf>
    <xf numFmtId="164" fontId="0" fillId="6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164" fontId="0" fillId="8" borderId="27" xfId="0" applyNumberFormat="1" applyFont="1" applyFill="1" applyBorder="1" applyAlignment="1" applyProtection="1">
      <alignment horizontal="right"/>
      <protection locked="0"/>
    </xf>
    <xf numFmtId="0" fontId="6" fillId="9" borderId="29" xfId="0" applyFont="1" applyFill="1" applyBorder="1" applyProtection="1"/>
    <xf numFmtId="164" fontId="3" fillId="9" borderId="28" xfId="0" applyNumberFormat="1" applyFont="1" applyFill="1" applyBorder="1" applyAlignment="1" applyProtection="1">
      <alignment horizontal="right"/>
      <protection locked="0"/>
    </xf>
    <xf numFmtId="164" fontId="3" fillId="6" borderId="30" xfId="0" applyNumberFormat="1" applyFont="1" applyFill="1" applyBorder="1" applyAlignment="1" applyProtection="1">
      <alignment horizontal="right"/>
    </xf>
    <xf numFmtId="164" fontId="0" fillId="8" borderId="32" xfId="0" applyNumberFormat="1" applyFont="1" applyFill="1" applyBorder="1" applyAlignment="1" applyProtection="1">
      <alignment horizontal="right"/>
      <protection locked="0"/>
    </xf>
    <xf numFmtId="0" fontId="6" fillId="0" borderId="29" xfId="0" applyFont="1" applyFill="1" applyBorder="1" applyAlignment="1" applyProtection="1">
      <alignment horizontal="left"/>
    </xf>
    <xf numFmtId="164" fontId="0" fillId="6" borderId="28" xfId="0" applyNumberFormat="1" applyFont="1" applyFill="1" applyBorder="1" applyAlignment="1" applyProtection="1">
      <alignment horizontal="right"/>
    </xf>
    <xf numFmtId="164" fontId="3" fillId="0" borderId="30" xfId="0" applyNumberFormat="1" applyFont="1" applyFill="1" applyBorder="1" applyAlignment="1" applyProtection="1">
      <alignment horizontal="right"/>
      <protection locked="0"/>
    </xf>
    <xf numFmtId="0" fontId="6" fillId="0" borderId="29" xfId="0" applyFont="1" applyBorder="1" applyProtection="1"/>
    <xf numFmtId="164" fontId="3" fillId="6" borderId="28" xfId="0" applyNumberFormat="1" applyFont="1" applyFill="1" applyBorder="1" applyAlignment="1" applyProtection="1">
      <alignment horizontal="right"/>
    </xf>
    <xf numFmtId="164" fontId="3" fillId="0" borderId="30" xfId="0" applyNumberFormat="1" applyFont="1" applyBorder="1" applyAlignment="1" applyProtection="1">
      <alignment horizontal="right"/>
      <protection locked="0"/>
    </xf>
    <xf numFmtId="164" fontId="0" fillId="0" borderId="27" xfId="0" applyNumberFormat="1" applyFont="1" applyBorder="1" applyAlignment="1" applyProtection="1">
      <alignment horizontal="right"/>
      <protection locked="0"/>
    </xf>
    <xf numFmtId="0" fontId="9" fillId="0" borderId="29" xfId="0" applyFont="1" applyBorder="1" applyProtection="1"/>
    <xf numFmtId="164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4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4" fontId="0" fillId="6" borderId="35" xfId="0" applyNumberFormat="1" applyFont="1" applyFill="1" applyBorder="1" applyAlignment="1" applyProtection="1">
      <alignment horizontal="right"/>
    </xf>
    <xf numFmtId="164" fontId="0" fillId="6" borderId="36" xfId="0" applyNumberFormat="1" applyFont="1" applyFill="1" applyBorder="1" applyAlignment="1" applyProtection="1">
      <alignment horizontal="right"/>
    </xf>
    <xf numFmtId="164" fontId="0" fillId="0" borderId="36" xfId="0" applyNumberFormat="1" applyFont="1" applyBorder="1" applyAlignment="1" applyProtection="1">
      <alignment horizontal="right"/>
      <protection locked="0"/>
    </xf>
    <xf numFmtId="164" fontId="0" fillId="0" borderId="37" xfId="0" applyNumberFormat="1" applyFont="1" applyFill="1" applyBorder="1" applyAlignment="1" applyProtection="1">
      <alignment horizontal="right"/>
      <protection locked="0"/>
    </xf>
    <xf numFmtId="164" fontId="0" fillId="0" borderId="38" xfId="0" applyNumberFormat="1" applyFont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</xf>
    <xf numFmtId="10" fontId="6" fillId="0" borderId="12" xfId="0" applyNumberFormat="1" applyFont="1" applyFill="1" applyBorder="1" applyProtection="1"/>
    <xf numFmtId="0" fontId="4" fillId="0" borderId="39" xfId="0" applyFont="1" applyFill="1" applyBorder="1" applyAlignment="1" applyProtection="1">
      <alignment horizontal="center"/>
    </xf>
    <xf numFmtId="0" fontId="4" fillId="4" borderId="40" xfId="0" applyFont="1" applyFill="1" applyBorder="1" applyProtection="1"/>
    <xf numFmtId="164" fontId="4" fillId="4" borderId="1" xfId="0" applyNumberFormat="1" applyFont="1" applyFill="1" applyBorder="1" applyAlignment="1" applyProtection="1">
      <alignment horizontal="right"/>
    </xf>
    <xf numFmtId="164" fontId="4" fillId="4" borderId="10" xfId="0" applyNumberFormat="1" applyFont="1" applyFill="1" applyBorder="1" applyAlignment="1" applyProtection="1">
      <alignment horizontal="right"/>
    </xf>
    <xf numFmtId="164" fontId="4" fillId="4" borderId="11" xfId="0" applyNumberFormat="1" applyFont="1" applyFill="1" applyBorder="1" applyAlignment="1" applyProtection="1">
      <alignment horizontal="right"/>
    </xf>
    <xf numFmtId="164" fontId="4" fillId="4" borderId="6" xfId="0" applyNumberFormat="1" applyFont="1" applyFill="1" applyBorder="1" applyAlignment="1" applyProtection="1">
      <alignment horizontal="right"/>
    </xf>
    <xf numFmtId="10" fontId="6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4" fillId="5" borderId="40" xfId="0" applyFont="1" applyFill="1" applyBorder="1" applyProtection="1"/>
    <xf numFmtId="0" fontId="13" fillId="0" borderId="19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13" fillId="0" borderId="43" xfId="0" applyFont="1" applyBorder="1" applyAlignment="1" applyProtection="1">
      <alignment horizontal="center"/>
    </xf>
    <xf numFmtId="164" fontId="13" fillId="0" borderId="19" xfId="0" applyNumberFormat="1" applyFont="1" applyBorder="1" applyAlignment="1" applyProtection="1">
      <alignment horizontal="center"/>
    </xf>
    <xf numFmtId="164" fontId="13" fillId="0" borderId="4" xfId="0" applyNumberFormat="1" applyFont="1" applyBorder="1" applyAlignment="1" applyProtection="1">
      <alignment horizontal="center"/>
    </xf>
    <xf numFmtId="164" fontId="13" fillId="0" borderId="43" xfId="0" applyNumberFormat="1" applyFont="1" applyBorder="1" applyAlignment="1" applyProtection="1">
      <alignment horizontal="center"/>
    </xf>
    <xf numFmtId="0" fontId="0" fillId="0" borderId="23" xfId="0" applyBorder="1" applyProtection="1"/>
    <xf numFmtId="164" fontId="0" fillId="0" borderId="45" xfId="0" applyNumberFormat="1" applyFont="1" applyBorder="1" applyProtection="1">
      <protection locked="0"/>
    </xf>
    <xf numFmtId="164" fontId="0" fillId="0" borderId="45" xfId="0" applyNumberFormat="1" applyFont="1" applyFill="1" applyBorder="1" applyProtection="1">
      <protection locked="0"/>
    </xf>
    <xf numFmtId="164" fontId="0" fillId="0" borderId="46" xfId="0" applyNumberFormat="1" applyFont="1" applyBorder="1" applyProtection="1">
      <protection locked="0"/>
    </xf>
    <xf numFmtId="164" fontId="0" fillId="0" borderId="47" xfId="0" applyNumberFormat="1" applyFont="1" applyFill="1" applyBorder="1" applyAlignment="1" applyProtection="1">
      <alignment horizontal="right"/>
    </xf>
    <xf numFmtId="164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4" fontId="0" fillId="0" borderId="48" xfId="0" applyNumberFormat="1" applyFill="1" applyBorder="1" applyProtection="1">
      <protection locked="0"/>
    </xf>
    <xf numFmtId="164" fontId="0" fillId="0" borderId="48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28" xfId="0" applyNumberFormat="1" applyFont="1" applyFill="1" applyBorder="1" applyProtection="1">
      <protection locked="0"/>
    </xf>
    <xf numFmtId="164" fontId="0" fillId="0" borderId="48" xfId="0" applyNumberFormat="1" applyFont="1" applyBorder="1" applyProtection="1">
      <protection locked="0"/>
    </xf>
    <xf numFmtId="164" fontId="0" fillId="0" borderId="28" xfId="0" applyNumberFormat="1" applyFont="1" applyBorder="1" applyProtection="1">
      <protection locked="0"/>
    </xf>
    <xf numFmtId="0" fontId="6" fillId="0" borderId="29" xfId="0" applyFont="1" applyBorder="1" applyAlignment="1" applyProtection="1">
      <alignment horizontal="left" indent="5"/>
    </xf>
    <xf numFmtId="0" fontId="0" fillId="0" borderId="28" xfId="0" applyFont="1" applyBorder="1" applyProtection="1">
      <protection locked="0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4" fontId="0" fillId="0" borderId="51" xfId="0" applyNumberFormat="1" applyBorder="1" applyProtection="1">
      <protection locked="0"/>
    </xf>
    <xf numFmtId="164" fontId="0" fillId="0" borderId="51" xfId="0" applyNumberFormat="1" applyFont="1" applyFill="1" applyBorder="1" applyProtection="1">
      <protection locked="0"/>
    </xf>
    <xf numFmtId="164" fontId="0" fillId="0" borderId="52" xfId="0" applyNumberFormat="1" applyFont="1" applyBorder="1" applyProtection="1">
      <protection locked="0"/>
    </xf>
    <xf numFmtId="164" fontId="0" fillId="0" borderId="35" xfId="0" applyNumberFormat="1" applyFont="1" applyBorder="1" applyProtection="1">
      <protection locked="0"/>
    </xf>
    <xf numFmtId="164" fontId="0" fillId="0" borderId="51" xfId="0" applyNumberFormat="1" applyFont="1" applyBorder="1" applyProtection="1">
      <protection locked="0"/>
    </xf>
    <xf numFmtId="0" fontId="4" fillId="9" borderId="14" xfId="0" applyFont="1" applyFill="1" applyBorder="1" applyProtection="1"/>
    <xf numFmtId="164" fontId="4" fillId="9" borderId="19" xfId="0" applyNumberFormat="1" applyFont="1" applyFill="1" applyBorder="1" applyProtection="1"/>
    <xf numFmtId="164" fontId="0" fillId="9" borderId="46" xfId="0" applyNumberFormat="1" applyFont="1" applyFill="1" applyBorder="1" applyProtection="1">
      <protection locked="0"/>
    </xf>
    <xf numFmtId="164" fontId="4" fillId="9" borderId="16" xfId="0" applyNumberFormat="1" applyFont="1" applyFill="1" applyBorder="1" applyProtection="1"/>
    <xf numFmtId="164" fontId="4" fillId="9" borderId="39" xfId="0" applyNumberFormat="1" applyFont="1" applyFill="1" applyBorder="1" applyProtection="1"/>
    <xf numFmtId="10" fontId="6" fillId="9" borderId="39" xfId="0" applyNumberFormat="1" applyFont="1" applyFill="1" applyBorder="1" applyProtection="1"/>
    <xf numFmtId="0" fontId="7" fillId="0" borderId="53" xfId="0" applyFont="1" applyFill="1" applyBorder="1" applyAlignment="1" applyProtection="1">
      <alignment horizontal="center"/>
    </xf>
    <xf numFmtId="0" fontId="7" fillId="10" borderId="53" xfId="0" applyFont="1" applyFill="1" applyBorder="1" applyAlignment="1" applyProtection="1">
      <alignment horizontal="left"/>
    </xf>
    <xf numFmtId="165" fontId="7" fillId="10" borderId="53" xfId="0" applyNumberFormat="1" applyFont="1" applyFill="1" applyBorder="1" applyAlignment="1" applyProtection="1"/>
    <xf numFmtId="165" fontId="14" fillId="11" borderId="53" xfId="0" applyNumberFormat="1" applyFont="1" applyFill="1" applyBorder="1" applyAlignment="1" applyProtection="1"/>
    <xf numFmtId="165" fontId="14" fillId="11" borderId="6" xfId="0" applyNumberFormat="1" applyFont="1" applyFill="1" applyBorder="1" applyAlignment="1" applyProtection="1"/>
    <xf numFmtId="164" fontId="7" fillId="10" borderId="53" xfId="0" applyNumberFormat="1" applyFont="1" applyFill="1" applyBorder="1" applyAlignment="1" applyProtection="1"/>
    <xf numFmtId="164" fontId="14" fillId="11" borderId="53" xfId="0" applyNumberFormat="1" applyFont="1" applyFill="1" applyBorder="1" applyAlignment="1" applyProtection="1"/>
    <xf numFmtId="164" fontId="14" fillId="11" borderId="6" xfId="0" applyNumberFormat="1" applyFont="1" applyFill="1" applyBorder="1" applyAlignment="1" applyProtection="1"/>
    <xf numFmtId="10" fontId="2" fillId="11" borderId="27" xfId="0" applyNumberFormat="1" applyFont="1" applyFill="1" applyBorder="1" applyProtection="1"/>
    <xf numFmtId="0" fontId="15" fillId="0" borderId="14" xfId="0" applyFont="1" applyFill="1" applyBorder="1" applyAlignment="1" applyProtection="1">
      <alignment horizontal="center"/>
    </xf>
    <xf numFmtId="0" fontId="15" fillId="0" borderId="14" xfId="0" applyFont="1" applyBorder="1" applyProtection="1"/>
    <xf numFmtId="164" fontId="16" fillId="5" borderId="19" xfId="0" applyNumberFormat="1" applyFont="1" applyFill="1" applyBorder="1" applyAlignment="1" applyProtection="1">
      <alignment horizontal="center"/>
    </xf>
    <xf numFmtId="164" fontId="16" fillId="5" borderId="4" xfId="0" applyNumberFormat="1" applyFont="1" applyFill="1" applyBorder="1" applyProtection="1"/>
    <xf numFmtId="0" fontId="15" fillId="5" borderId="4" xfId="0" applyFont="1" applyFill="1" applyBorder="1" applyProtection="1"/>
    <xf numFmtId="164" fontId="16" fillId="5" borderId="43" xfId="0" applyNumberFormat="1" applyFont="1" applyFill="1" applyBorder="1" applyProtection="1"/>
    <xf numFmtId="165" fontId="15" fillId="12" borderId="39" xfId="0" applyNumberFormat="1" applyFont="1" applyFill="1" applyBorder="1" applyProtection="1"/>
    <xf numFmtId="164" fontId="15" fillId="5" borderId="4" xfId="0" applyNumberFormat="1" applyFont="1" applyFill="1" applyBorder="1" applyProtection="1"/>
    <xf numFmtId="164" fontId="16" fillId="5" borderId="5" xfId="0" applyNumberFormat="1" applyFont="1" applyFill="1" applyBorder="1" applyProtection="1"/>
    <xf numFmtId="164" fontId="15" fillId="12" borderId="39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164" fontId="4" fillId="2" borderId="0" xfId="0" applyNumberFormat="1" applyFont="1" applyFill="1" applyBorder="1" applyAlignment="1" applyProtection="1">
      <alignment horizontal="center"/>
    </xf>
    <xf numFmtId="164" fontId="4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164" fontId="4" fillId="5" borderId="19" xfId="0" applyNumberFormat="1" applyFont="1" applyFill="1" applyBorder="1" applyProtection="1">
      <protection locked="0"/>
    </xf>
    <xf numFmtId="164" fontId="4" fillId="5" borderId="4" xfId="0" applyNumberFormat="1" applyFont="1" applyFill="1" applyBorder="1" applyProtection="1"/>
    <xf numFmtId="164" fontId="4" fillId="5" borderId="5" xfId="0" applyNumberFormat="1" applyFont="1" applyFill="1" applyBorder="1" applyProtection="1"/>
    <xf numFmtId="164" fontId="16" fillId="2" borderId="0" xfId="0" applyNumberFormat="1" applyFont="1" applyFill="1" applyBorder="1" applyAlignment="1" applyProtection="1">
      <alignment horizontal="right"/>
    </xf>
    <xf numFmtId="164" fontId="4" fillId="0" borderId="17" xfId="0" applyNumberFormat="1" applyFont="1" applyFill="1" applyBorder="1" applyProtection="1">
      <protection locked="0"/>
    </xf>
    <xf numFmtId="164" fontId="4" fillId="0" borderId="55" xfId="0" applyNumberFormat="1" applyFont="1" applyFill="1" applyBorder="1" applyProtection="1">
      <protection locked="0"/>
    </xf>
    <xf numFmtId="164" fontId="4" fillId="0" borderId="20" xfId="0" applyNumberFormat="1" applyFont="1" applyFill="1" applyBorder="1" applyProtection="1">
      <protection locked="0"/>
    </xf>
    <xf numFmtId="164" fontId="4" fillId="2" borderId="0" xfId="0" applyNumberFormat="1" applyFont="1" applyFill="1" applyBorder="1" applyProtection="1">
      <protection locked="0"/>
    </xf>
    <xf numFmtId="164" fontId="17" fillId="5" borderId="19" xfId="0" applyNumberFormat="1" applyFont="1" applyFill="1" applyBorder="1" applyAlignment="1" applyProtection="1">
      <alignment horizontal="center" wrapText="1"/>
      <protection locked="0"/>
    </xf>
    <xf numFmtId="164" fontId="17" fillId="5" borderId="5" xfId="0" applyNumberFormat="1" applyFont="1" applyFill="1" applyBorder="1" applyAlignment="1" applyProtection="1">
      <alignment horizontal="center" wrapText="1"/>
    </xf>
    <xf numFmtId="164" fontId="17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/>
    </xf>
    <xf numFmtId="164" fontId="4" fillId="0" borderId="44" xfId="0" applyNumberFormat="1" applyFont="1" applyFill="1" applyBorder="1" applyProtection="1">
      <protection locked="0"/>
    </xf>
    <xf numFmtId="164" fontId="4" fillId="2" borderId="0" xfId="0" applyNumberFormat="1" applyFont="1" applyFill="1" applyBorder="1" applyAlignment="1" applyProtection="1">
      <alignment horizontal="right"/>
      <protection locked="0"/>
    </xf>
    <xf numFmtId="0" fontId="4" fillId="13" borderId="30" xfId="0" applyFont="1" applyFill="1" applyBorder="1" applyProtection="1"/>
    <xf numFmtId="164" fontId="4" fillId="13" borderId="30" xfId="0" applyNumberFormat="1" applyFont="1" applyFill="1" applyBorder="1" applyAlignment="1" applyProtection="1">
      <alignment horizontal="center"/>
    </xf>
    <xf numFmtId="0" fontId="4" fillId="0" borderId="30" xfId="0" applyFont="1" applyFill="1" applyBorder="1" applyProtection="1"/>
    <xf numFmtId="164" fontId="4" fillId="0" borderId="30" xfId="0" applyNumberFormat="1" applyFont="1" applyFill="1" applyBorder="1" applyAlignment="1" applyProtection="1">
      <alignment horizontal="right"/>
      <protection locked="0"/>
    </xf>
    <xf numFmtId="164" fontId="4" fillId="0" borderId="30" xfId="0" applyNumberFormat="1" applyFont="1" applyFill="1" applyBorder="1" applyProtection="1"/>
    <xf numFmtId="0" fontId="10" fillId="0" borderId="30" xfId="0" applyFont="1" applyFill="1" applyBorder="1" applyProtection="1"/>
    <xf numFmtId="164" fontId="4" fillId="0" borderId="30" xfId="0" applyNumberFormat="1" applyFont="1" applyFill="1" applyBorder="1" applyProtection="1">
      <protection locked="0"/>
    </xf>
    <xf numFmtId="0" fontId="4" fillId="13" borderId="37" xfId="0" applyFont="1" applyFill="1" applyBorder="1" applyAlignment="1" applyProtection="1">
      <alignment horizontal="left"/>
    </xf>
    <xf numFmtId="0" fontId="4" fillId="13" borderId="56" xfId="0" applyFont="1" applyFill="1" applyBorder="1" applyAlignment="1" applyProtection="1">
      <alignment horizontal="left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4" fillId="0" borderId="13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19" fillId="0" borderId="13" xfId="2" applyFont="1" applyBorder="1" applyProtection="1"/>
    <xf numFmtId="0" fontId="0" fillId="0" borderId="0" xfId="0" applyBorder="1"/>
    <xf numFmtId="0" fontId="19" fillId="0" borderId="13" xfId="2" applyFont="1" applyFill="1" applyBorder="1" applyProtection="1"/>
    <xf numFmtId="0" fontId="19" fillId="0" borderId="0" xfId="2" applyFont="1" applyFill="1" applyBorder="1" applyProtection="1"/>
    <xf numFmtId="0" fontId="19" fillId="0" borderId="0" xfId="2" applyFont="1" applyBorder="1" applyProtection="1"/>
    <xf numFmtId="0" fontId="19" fillId="0" borderId="0" xfId="0" applyFont="1" applyFill="1" applyBorder="1"/>
    <xf numFmtId="0" fontId="19" fillId="0" borderId="26" xfId="2" applyFont="1" applyBorder="1" applyProtection="1"/>
    <xf numFmtId="0" fontId="19" fillId="0" borderId="58" xfId="0" applyFont="1" applyFill="1" applyBorder="1"/>
    <xf numFmtId="0" fontId="19" fillId="0" borderId="58" xfId="2" applyFont="1" applyBorder="1" applyProtection="1"/>
    <xf numFmtId="0" fontId="4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9" fillId="2" borderId="0" xfId="2" applyFont="1" applyFill="1" applyBorder="1" applyProtection="1"/>
    <xf numFmtId="0" fontId="19" fillId="2" borderId="0" xfId="0" applyFont="1" applyFill="1" applyBorder="1"/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/>
    </xf>
    <xf numFmtId="14" fontId="4" fillId="14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14" borderId="0" xfId="0" applyFont="1" applyFill="1" applyBorder="1" applyAlignment="1" applyProtection="1">
      <alignment horizontal="left"/>
    </xf>
    <xf numFmtId="10" fontId="0" fillId="0" borderId="0" xfId="0" applyNumberFormat="1" applyFont="1"/>
    <xf numFmtId="10" fontId="0" fillId="2" borderId="0" xfId="0" applyNumberFormat="1" applyFill="1"/>
    <xf numFmtId="0" fontId="5" fillId="2" borderId="0" xfId="0" applyFont="1" applyFill="1"/>
    <xf numFmtId="0" fontId="4" fillId="0" borderId="0" xfId="0" applyFont="1" applyAlignment="1" applyProtection="1">
      <alignment horizontal="left"/>
      <protection locked="0"/>
    </xf>
    <xf numFmtId="0" fontId="6" fillId="2" borderId="0" xfId="0" applyFont="1" applyFill="1"/>
    <xf numFmtId="0" fontId="4" fillId="3" borderId="6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164" fontId="0" fillId="6" borderId="24" xfId="0" applyNumberFormat="1" applyFill="1" applyBorder="1" applyAlignment="1">
      <alignment horizontal="right"/>
    </xf>
    <xf numFmtId="164" fontId="0" fillId="6" borderId="25" xfId="0" applyNumberFormat="1" applyFill="1" applyBorder="1" applyAlignment="1">
      <alignment horizontal="right"/>
    </xf>
    <xf numFmtId="164" fontId="0" fillId="0" borderId="25" xfId="0" applyNumberFormat="1" applyBorder="1" applyAlignment="1" applyProtection="1">
      <alignment horizontal="right"/>
      <protection locked="0"/>
    </xf>
    <xf numFmtId="164" fontId="0" fillId="0" borderId="26" xfId="0" applyNumberFormat="1" applyBorder="1" applyAlignment="1" applyProtection="1">
      <alignment horizontal="right"/>
      <protection locked="0"/>
    </xf>
    <xf numFmtId="164" fontId="0" fillId="0" borderId="27" xfId="0" applyNumberFormat="1" applyBorder="1" applyAlignment="1" applyProtection="1">
      <alignment horizontal="right"/>
      <protection locked="0"/>
    </xf>
    <xf numFmtId="164" fontId="0" fillId="0" borderId="27" xfId="0" applyNumberFormat="1" applyBorder="1" applyAlignment="1">
      <alignment horizontal="right"/>
    </xf>
    <xf numFmtId="166" fontId="0" fillId="0" borderId="27" xfId="0" applyNumberFormat="1" applyBorder="1" applyAlignment="1">
      <alignment horizontal="right"/>
    </xf>
    <xf numFmtId="10" fontId="6" fillId="0" borderId="27" xfId="0" applyNumberFormat="1" applyFont="1" applyBorder="1"/>
    <xf numFmtId="0" fontId="0" fillId="0" borderId="28" xfId="0" applyBorder="1" applyAlignment="1">
      <alignment horizontal="center"/>
    </xf>
    <xf numFmtId="0" fontId="0" fillId="7" borderId="29" xfId="0" applyFill="1" applyBorder="1"/>
    <xf numFmtId="164" fontId="0" fillId="7" borderId="28" xfId="0" applyNumberFormat="1" applyFill="1" applyBorder="1" applyAlignment="1" applyProtection="1">
      <alignment horizontal="right"/>
      <protection locked="0"/>
    </xf>
    <xf numFmtId="164" fontId="0" fillId="6" borderId="30" xfId="0" applyNumberFormat="1" applyFill="1" applyBorder="1" applyAlignment="1">
      <alignment horizontal="right"/>
    </xf>
    <xf numFmtId="164" fontId="0" fillId="0" borderId="31" xfId="0" applyNumberFormat="1" applyBorder="1" applyAlignment="1" applyProtection="1">
      <alignment horizontal="right"/>
      <protection locked="0"/>
    </xf>
    <xf numFmtId="164" fontId="0" fillId="8" borderId="27" xfId="0" applyNumberFormat="1" applyFill="1" applyBorder="1" applyAlignment="1" applyProtection="1">
      <alignment horizontal="right"/>
      <protection locked="0"/>
    </xf>
    <xf numFmtId="0" fontId="6" fillId="9" borderId="29" xfId="0" applyFont="1" applyFill="1" applyBorder="1"/>
    <xf numFmtId="164" fontId="3" fillId="6" borderId="30" xfId="0" applyNumberFormat="1" applyFont="1" applyFill="1" applyBorder="1" applyAlignment="1">
      <alignment horizontal="right"/>
    </xf>
    <xf numFmtId="164" fontId="0" fillId="8" borderId="32" xfId="0" applyNumberFormat="1" applyFill="1" applyBorder="1" applyAlignment="1" applyProtection="1">
      <alignment horizontal="right"/>
      <protection locked="0"/>
    </xf>
    <xf numFmtId="0" fontId="6" fillId="0" borderId="29" xfId="0" applyFont="1" applyBorder="1" applyAlignment="1">
      <alignment horizontal="left"/>
    </xf>
    <xf numFmtId="164" fontId="0" fillId="6" borderId="28" xfId="0" applyNumberFormat="1" applyFill="1" applyBorder="1" applyAlignment="1">
      <alignment horizontal="right"/>
    </xf>
    <xf numFmtId="0" fontId="6" fillId="0" borderId="29" xfId="0" applyFont="1" applyBorder="1"/>
    <xf numFmtId="164" fontId="3" fillId="6" borderId="28" xfId="0" applyNumberFormat="1" applyFont="1" applyFill="1" applyBorder="1" applyAlignment="1">
      <alignment horizontal="right"/>
    </xf>
    <xf numFmtId="0" fontId="9" fillId="0" borderId="29" xfId="0" applyFont="1" applyBorder="1"/>
    <xf numFmtId="164" fontId="0" fillId="0" borderId="30" xfId="0" applyNumberFormat="1" applyBorder="1" applyAlignment="1" applyProtection="1">
      <alignment horizontal="right"/>
      <protection locked="0"/>
    </xf>
    <xf numFmtId="0" fontId="0" fillId="0" borderId="29" xfId="0" applyBorder="1"/>
    <xf numFmtId="164" fontId="0" fillId="0" borderId="32" xfId="0" applyNumberFormat="1" applyBorder="1" applyAlignment="1" applyProtection="1">
      <alignment horizontal="right"/>
      <protection locked="0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 indent="5"/>
    </xf>
    <xf numFmtId="164" fontId="0" fillId="6" borderId="35" xfId="0" applyNumberFormat="1" applyFill="1" applyBorder="1" applyAlignment="1">
      <alignment horizontal="right"/>
    </xf>
    <xf numFmtId="164" fontId="0" fillId="6" borderId="36" xfId="0" applyNumberFormat="1" applyFill="1" applyBorder="1" applyAlignment="1">
      <alignment horizontal="right"/>
    </xf>
    <xf numFmtId="164" fontId="0" fillId="0" borderId="36" xfId="0" applyNumberFormat="1" applyBorder="1" applyAlignment="1" applyProtection="1">
      <alignment horizontal="right"/>
      <protection locked="0"/>
    </xf>
    <xf numFmtId="164" fontId="0" fillId="0" borderId="37" xfId="0" applyNumberFormat="1" applyBorder="1" applyAlignment="1" applyProtection="1">
      <alignment horizontal="right"/>
      <protection locked="0"/>
    </xf>
    <xf numFmtId="164" fontId="0" fillId="0" borderId="38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>
      <alignment horizontal="right"/>
    </xf>
    <xf numFmtId="166" fontId="0" fillId="0" borderId="12" xfId="0" applyNumberFormat="1" applyBorder="1" applyAlignment="1">
      <alignment horizontal="right"/>
    </xf>
    <xf numFmtId="10" fontId="6" fillId="0" borderId="12" xfId="0" applyNumberFormat="1" applyFont="1" applyBorder="1"/>
    <xf numFmtId="0" fontId="4" fillId="0" borderId="39" xfId="0" applyFont="1" applyBorder="1" applyAlignment="1">
      <alignment horizontal="center"/>
    </xf>
    <xf numFmtId="0" fontId="4" fillId="4" borderId="40" xfId="0" applyFont="1" applyFill="1" applyBorder="1"/>
    <xf numFmtId="164" fontId="4" fillId="4" borderId="1" xfId="0" applyNumberFormat="1" applyFont="1" applyFill="1" applyBorder="1" applyAlignment="1">
      <alignment horizontal="right"/>
    </xf>
    <xf numFmtId="164" fontId="4" fillId="4" borderId="10" xfId="0" applyNumberFormat="1" applyFont="1" applyFill="1" applyBorder="1" applyAlignment="1">
      <alignment horizontal="right"/>
    </xf>
    <xf numFmtId="164" fontId="4" fillId="4" borderId="11" xfId="0" applyNumberFormat="1" applyFont="1" applyFill="1" applyBorder="1" applyAlignment="1">
      <alignment horizontal="right"/>
    </xf>
    <xf numFmtId="164" fontId="4" fillId="4" borderId="6" xfId="0" applyNumberFormat="1" applyFont="1" applyFill="1" applyBorder="1" applyAlignment="1">
      <alignment horizontal="right"/>
    </xf>
    <xf numFmtId="166" fontId="4" fillId="4" borderId="1" xfId="0" applyNumberFormat="1" applyFont="1" applyFill="1" applyBorder="1" applyAlignment="1">
      <alignment horizontal="right"/>
    </xf>
    <xf numFmtId="166" fontId="4" fillId="4" borderId="10" xfId="0" applyNumberFormat="1" applyFont="1" applyFill="1" applyBorder="1" applyAlignment="1">
      <alignment horizontal="right"/>
    </xf>
    <xf numFmtId="166" fontId="4" fillId="4" borderId="11" xfId="0" applyNumberFormat="1" applyFont="1" applyFill="1" applyBorder="1" applyAlignment="1">
      <alignment horizontal="right"/>
    </xf>
    <xf numFmtId="166" fontId="4" fillId="4" borderId="6" xfId="0" applyNumberFormat="1" applyFont="1" applyFill="1" applyBorder="1" applyAlignment="1">
      <alignment horizontal="right"/>
    </xf>
    <xf numFmtId="10" fontId="6" fillId="4" borderId="39" xfId="0" applyNumberFormat="1" applyFont="1" applyFill="1" applyBorder="1"/>
    <xf numFmtId="0" fontId="0" fillId="5" borderId="41" xfId="0" applyFill="1" applyBorder="1" applyAlignment="1">
      <alignment horizontal="center"/>
    </xf>
    <xf numFmtId="0" fontId="4" fillId="5" borderId="40" xfId="0" applyFont="1" applyFill="1" applyBorder="1"/>
    <xf numFmtId="0" fontId="13" fillId="0" borderId="19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166" fontId="13" fillId="0" borderId="19" xfId="0" applyNumberFormat="1" applyFont="1" applyBorder="1" applyAlignment="1">
      <alignment horizontal="center"/>
    </xf>
    <xf numFmtId="166" fontId="13" fillId="0" borderId="4" xfId="0" applyNumberFormat="1" applyFont="1" applyBorder="1" applyAlignment="1">
      <alignment horizontal="center"/>
    </xf>
    <xf numFmtId="166" fontId="13" fillId="0" borderId="43" xfId="0" applyNumberFormat="1" applyFont="1" applyBorder="1" applyAlignment="1">
      <alignment horizontal="center"/>
    </xf>
    <xf numFmtId="164" fontId="0" fillId="0" borderId="45" xfId="0" applyNumberFormat="1" applyBorder="1" applyProtection="1">
      <protection locked="0"/>
    </xf>
    <xf numFmtId="164" fontId="0" fillId="0" borderId="46" xfId="0" applyNumberFormat="1" applyBorder="1" applyProtection="1">
      <protection locked="0"/>
    </xf>
    <xf numFmtId="164" fontId="0" fillId="0" borderId="47" xfId="0" applyNumberFormat="1" applyBorder="1" applyAlignment="1">
      <alignment horizontal="right"/>
    </xf>
    <xf numFmtId="164" fontId="0" fillId="0" borderId="22" xfId="0" applyNumberFormat="1" applyBorder="1" applyProtection="1">
      <protection locked="0"/>
    </xf>
    <xf numFmtId="166" fontId="0" fillId="0" borderId="47" xfId="0" applyNumberFormat="1" applyBorder="1" applyAlignment="1">
      <alignment horizontal="right"/>
    </xf>
    <xf numFmtId="164" fontId="0" fillId="0" borderId="48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164" fontId="0" fillId="0" borderId="28" xfId="0" applyNumberFormat="1" applyBorder="1" applyProtection="1">
      <protection locked="0"/>
    </xf>
    <xf numFmtId="165" fontId="0" fillId="0" borderId="28" xfId="0" applyNumberFormat="1" applyBorder="1" applyProtection="1">
      <protection locked="0"/>
    </xf>
    <xf numFmtId="165" fontId="0" fillId="0" borderId="48" xfId="0" applyNumberFormat="1" applyBorder="1" applyProtection="1">
      <protection locked="0"/>
    </xf>
    <xf numFmtId="166" fontId="0" fillId="0" borderId="49" xfId="0" applyNumberFormat="1" applyBorder="1" applyProtection="1">
      <protection locked="0"/>
    </xf>
    <xf numFmtId="0" fontId="0" fillId="0" borderId="48" xfId="0" applyBorder="1" applyProtection="1">
      <protection locked="0"/>
    </xf>
    <xf numFmtId="0" fontId="0" fillId="0" borderId="28" xfId="0" applyBorder="1" applyProtection="1">
      <protection locked="0"/>
    </xf>
    <xf numFmtId="0" fontId="6" fillId="0" borderId="29" xfId="0" applyFont="1" applyBorder="1" applyAlignment="1">
      <alignment horizontal="left" indent="5"/>
    </xf>
    <xf numFmtId="0" fontId="0" fillId="0" borderId="50" xfId="0" applyBorder="1"/>
    <xf numFmtId="164" fontId="0" fillId="0" borderId="52" xfId="0" applyNumberFormat="1" applyBorder="1" applyProtection="1">
      <protection locked="0"/>
    </xf>
    <xf numFmtId="164" fontId="0" fillId="0" borderId="35" xfId="0" applyNumberFormat="1" applyBorder="1" applyProtection="1">
      <protection locked="0"/>
    </xf>
    <xf numFmtId="10" fontId="6" fillId="0" borderId="32" xfId="0" applyNumberFormat="1" applyFont="1" applyBorder="1"/>
    <xf numFmtId="0" fontId="4" fillId="9" borderId="14" xfId="0" applyFont="1" applyFill="1" applyBorder="1"/>
    <xf numFmtId="164" fontId="4" fillId="9" borderId="19" xfId="0" applyNumberFormat="1" applyFont="1" applyFill="1" applyBorder="1"/>
    <xf numFmtId="164" fontId="0" fillId="9" borderId="46" xfId="0" applyNumberFormat="1" applyFill="1" applyBorder="1" applyProtection="1">
      <protection locked="0"/>
    </xf>
    <xf numFmtId="164" fontId="4" fillId="9" borderId="16" xfId="0" applyNumberFormat="1" applyFont="1" applyFill="1" applyBorder="1"/>
    <xf numFmtId="164" fontId="4" fillId="9" borderId="39" xfId="0" applyNumberFormat="1" applyFont="1" applyFill="1" applyBorder="1"/>
    <xf numFmtId="165" fontId="4" fillId="9" borderId="19" xfId="0" applyNumberFormat="1" applyFont="1" applyFill="1" applyBorder="1"/>
    <xf numFmtId="166" fontId="0" fillId="9" borderId="46" xfId="0" applyNumberFormat="1" applyFill="1" applyBorder="1" applyProtection="1">
      <protection locked="0"/>
    </xf>
    <xf numFmtId="166" fontId="4" fillId="9" borderId="16" xfId="0" applyNumberFormat="1" applyFont="1" applyFill="1" applyBorder="1"/>
    <xf numFmtId="166" fontId="4" fillId="9" borderId="39" xfId="0" applyNumberFormat="1" applyFont="1" applyFill="1" applyBorder="1"/>
    <xf numFmtId="10" fontId="6" fillId="9" borderId="39" xfId="0" applyNumberFormat="1" applyFont="1" applyFill="1" applyBorder="1"/>
    <xf numFmtId="0" fontId="7" fillId="0" borderId="53" xfId="0" applyFont="1" applyBorder="1" applyAlignment="1">
      <alignment horizontal="center"/>
    </xf>
    <xf numFmtId="0" fontId="7" fillId="10" borderId="53" xfId="0" applyFont="1" applyFill="1" applyBorder="1" applyAlignment="1">
      <alignment horizontal="left"/>
    </xf>
    <xf numFmtId="165" fontId="7" fillId="10" borderId="53" xfId="0" applyNumberFormat="1" applyFont="1" applyFill="1" applyBorder="1"/>
    <xf numFmtId="165" fontId="14" fillId="11" borderId="53" xfId="0" applyNumberFormat="1" applyFont="1" applyFill="1" applyBorder="1"/>
    <xf numFmtId="165" fontId="14" fillId="11" borderId="6" xfId="0" applyNumberFormat="1" applyFont="1" applyFill="1" applyBorder="1"/>
    <xf numFmtId="166" fontId="14" fillId="11" borderId="53" xfId="0" applyNumberFormat="1" applyFont="1" applyFill="1" applyBorder="1"/>
    <xf numFmtId="166" fontId="14" fillId="11" borderId="6" xfId="0" applyNumberFormat="1" applyFont="1" applyFill="1" applyBorder="1"/>
    <xf numFmtId="10" fontId="2" fillId="11" borderId="27" xfId="0" applyNumberFormat="1" applyFont="1" applyFill="1" applyBorder="1"/>
    <xf numFmtId="0" fontId="15" fillId="0" borderId="14" xfId="0" applyFont="1" applyBorder="1" applyAlignment="1">
      <alignment horizontal="center"/>
    </xf>
    <xf numFmtId="0" fontId="15" fillId="0" borderId="14" xfId="0" applyFont="1" applyBorder="1"/>
    <xf numFmtId="164" fontId="16" fillId="5" borderId="19" xfId="0" applyNumberFormat="1" applyFont="1" applyFill="1" applyBorder="1" applyAlignment="1">
      <alignment horizontal="center"/>
    </xf>
    <xf numFmtId="164" fontId="16" fillId="5" borderId="4" xfId="0" applyNumberFormat="1" applyFont="1" applyFill="1" applyBorder="1"/>
    <xf numFmtId="0" fontId="15" fillId="5" borderId="4" xfId="0" applyFont="1" applyFill="1" applyBorder="1"/>
    <xf numFmtId="164" fontId="16" fillId="5" borderId="43" xfId="0" applyNumberFormat="1" applyFont="1" applyFill="1" applyBorder="1"/>
    <xf numFmtId="165" fontId="15" fillId="12" borderId="39" xfId="0" applyNumberFormat="1" applyFont="1" applyFill="1" applyBorder="1"/>
    <xf numFmtId="164" fontId="16" fillId="5" borderId="5" xfId="0" applyNumberFormat="1" applyFont="1" applyFill="1" applyBorder="1"/>
    <xf numFmtId="0" fontId="0" fillId="2" borderId="0" xfId="0" applyFill="1" applyAlignment="1">
      <alignment horizont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/>
    <xf numFmtId="164" fontId="4" fillId="5" borderId="4" xfId="0" applyNumberFormat="1" applyFont="1" applyFill="1" applyBorder="1"/>
    <xf numFmtId="164" fontId="4" fillId="5" borderId="5" xfId="0" applyNumberFormat="1" applyFont="1" applyFill="1" applyBorder="1"/>
    <xf numFmtId="164" fontId="16" fillId="2" borderId="0" xfId="0" applyNumberFormat="1" applyFont="1" applyFill="1" applyAlignment="1">
      <alignment horizontal="right"/>
    </xf>
    <xf numFmtId="164" fontId="4" fillId="0" borderId="17" xfId="0" applyNumberFormat="1" applyFont="1" applyBorder="1" applyProtection="1">
      <protection locked="0"/>
    </xf>
    <xf numFmtId="164" fontId="4" fillId="0" borderId="55" xfId="0" applyNumberFormat="1" applyFont="1" applyBorder="1" applyProtection="1">
      <protection locked="0"/>
    </xf>
    <xf numFmtId="164" fontId="4" fillId="0" borderId="20" xfId="0" applyNumberFormat="1" applyFont="1" applyBorder="1" applyProtection="1">
      <protection locked="0"/>
    </xf>
    <xf numFmtId="164" fontId="4" fillId="2" borderId="0" xfId="0" applyNumberFormat="1" applyFont="1" applyFill="1" applyProtection="1">
      <protection locked="0"/>
    </xf>
    <xf numFmtId="164" fontId="17" fillId="5" borderId="5" xfId="0" applyNumberFormat="1" applyFont="1" applyFill="1" applyBorder="1" applyAlignment="1">
      <alignment horizontal="center" wrapText="1"/>
    </xf>
    <xf numFmtId="164" fontId="17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4" fillId="0" borderId="44" xfId="0" applyNumberFormat="1" applyFont="1" applyBorder="1" applyProtection="1">
      <protection locked="0"/>
    </xf>
    <xf numFmtId="164" fontId="4" fillId="2" borderId="0" xfId="0" applyNumberFormat="1" applyFont="1" applyFill="1" applyAlignment="1" applyProtection="1">
      <alignment horizontal="right"/>
      <protection locked="0"/>
    </xf>
    <xf numFmtId="0" fontId="4" fillId="13" borderId="30" xfId="0" applyFont="1" applyFill="1" applyBorder="1"/>
    <xf numFmtId="164" fontId="4" fillId="13" borderId="30" xfId="0" applyNumberFormat="1" applyFont="1" applyFill="1" applyBorder="1" applyAlignment="1">
      <alignment horizontal="center"/>
    </xf>
    <xf numFmtId="0" fontId="4" fillId="0" borderId="30" xfId="0" applyFont="1" applyBorder="1"/>
    <xf numFmtId="164" fontId="4" fillId="0" borderId="30" xfId="0" applyNumberFormat="1" applyFont="1" applyBorder="1" applyAlignment="1" applyProtection="1">
      <alignment horizontal="right"/>
      <protection locked="0"/>
    </xf>
    <xf numFmtId="164" fontId="4" fillId="0" borderId="30" xfId="0" applyNumberFormat="1" applyFont="1" applyBorder="1"/>
    <xf numFmtId="0" fontId="10" fillId="0" borderId="30" xfId="0" applyFont="1" applyBorder="1"/>
    <xf numFmtId="164" fontId="4" fillId="0" borderId="30" xfId="0" applyNumberFormat="1" applyFont="1" applyBorder="1" applyProtection="1">
      <protection locked="0"/>
    </xf>
    <xf numFmtId="0" fontId="4" fillId="13" borderId="37" xfId="0" applyFont="1" applyFill="1" applyBorder="1" applyAlignment="1">
      <alignment horizontal="left"/>
    </xf>
    <xf numFmtId="0" fontId="4" fillId="13" borderId="56" xfId="0" applyFont="1" applyFill="1" applyBorder="1" applyAlignment="1">
      <alignment horizontal="left"/>
    </xf>
    <xf numFmtId="0" fontId="0" fillId="0" borderId="56" xfId="0" applyBorder="1"/>
    <xf numFmtId="0" fontId="0" fillId="0" borderId="51" xfId="0" applyBorder="1"/>
    <xf numFmtId="0" fontId="0" fillId="0" borderId="13" xfId="0" applyBorder="1"/>
    <xf numFmtId="0" fontId="0" fillId="0" borderId="57" xfId="0" applyBorder="1"/>
    <xf numFmtId="0" fontId="4" fillId="0" borderId="13" xfId="0" applyFont="1" applyBorder="1" applyAlignment="1" applyProtection="1">
      <alignment horizontal="left"/>
      <protection locked="0"/>
    </xf>
    <xf numFmtId="0" fontId="19" fillId="0" borderId="13" xfId="2" applyFont="1" applyBorder="1"/>
    <xf numFmtId="0" fontId="19" fillId="0" borderId="0" xfId="2" applyFont="1"/>
    <xf numFmtId="0" fontId="19" fillId="0" borderId="0" xfId="0" applyFont="1"/>
    <xf numFmtId="0" fontId="19" fillId="0" borderId="26" xfId="2" applyFont="1" applyBorder="1"/>
    <xf numFmtId="0" fontId="19" fillId="0" borderId="58" xfId="0" applyFont="1" applyBorder="1"/>
    <xf numFmtId="0" fontId="19" fillId="0" borderId="58" xfId="2" applyFont="1" applyBorder="1"/>
    <xf numFmtId="0" fontId="4" fillId="0" borderId="58" xfId="0" applyFont="1" applyBorder="1" applyAlignment="1" applyProtection="1">
      <alignment horizontal="left"/>
      <protection locked="0"/>
    </xf>
    <xf numFmtId="0" fontId="0" fillId="0" borderId="58" xfId="0" applyBorder="1"/>
    <xf numFmtId="0" fontId="0" fillId="0" borderId="59" xfId="0" applyBorder="1"/>
    <xf numFmtId="0" fontId="19" fillId="2" borderId="0" xfId="2" applyFont="1" applyFill="1"/>
    <xf numFmtId="0" fontId="19" fillId="2" borderId="0" xfId="0" applyFont="1" applyFill="1"/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left"/>
    </xf>
    <xf numFmtId="14" fontId="4" fillId="14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14" borderId="0" xfId="0" applyFont="1" applyFill="1" applyAlignment="1">
      <alignment horizontal="left"/>
    </xf>
    <xf numFmtId="10" fontId="0" fillId="0" borderId="0" xfId="0" applyNumberFormat="1"/>
    <xf numFmtId="0" fontId="4" fillId="0" borderId="0" xfId="0" applyFont="1" applyFill="1" applyAlignment="1" applyProtection="1">
      <alignment horizontal="left"/>
      <protection locked="0"/>
    </xf>
    <xf numFmtId="166" fontId="0" fillId="6" borderId="24" xfId="0" applyNumberFormat="1" applyFont="1" applyFill="1" applyBorder="1" applyAlignment="1" applyProtection="1">
      <alignment horizontal="right"/>
    </xf>
    <xf numFmtId="166" fontId="0" fillId="6" borderId="25" xfId="0" applyNumberFormat="1" applyFont="1" applyFill="1" applyBorder="1" applyAlignment="1" applyProtection="1">
      <alignment horizontal="right"/>
    </xf>
    <xf numFmtId="166" fontId="0" fillId="0" borderId="26" xfId="0" applyNumberFormat="1" applyFont="1" applyFill="1" applyBorder="1" applyAlignment="1" applyProtection="1">
      <alignment horizontal="right"/>
      <protection locked="0"/>
    </xf>
    <xf numFmtId="166" fontId="0" fillId="0" borderId="27" xfId="0" applyNumberFormat="1" applyFont="1" applyFill="1" applyBorder="1" applyAlignment="1" applyProtection="1">
      <alignment horizontal="right"/>
      <protection locked="0"/>
    </xf>
    <xf numFmtId="166" fontId="0" fillId="0" borderId="27" xfId="0" applyNumberFormat="1" applyFont="1" applyFill="1" applyBorder="1" applyAlignment="1" applyProtection="1">
      <alignment horizontal="right"/>
    </xf>
    <xf numFmtId="164" fontId="0" fillId="0" borderId="25" xfId="0" applyNumberFormat="1" applyFill="1" applyBorder="1" applyAlignment="1" applyProtection="1">
      <alignment horizontal="right"/>
      <protection locked="0"/>
    </xf>
    <xf numFmtId="166" fontId="0" fillId="6" borderId="30" xfId="0" applyNumberFormat="1" applyFont="1" applyFill="1" applyBorder="1" applyAlignment="1" applyProtection="1">
      <alignment horizontal="right"/>
    </xf>
    <xf numFmtId="166" fontId="0" fillId="0" borderId="31" xfId="0" applyNumberFormat="1" applyFont="1" applyFill="1" applyBorder="1" applyAlignment="1" applyProtection="1">
      <alignment horizontal="right"/>
      <protection locked="0"/>
    </xf>
    <xf numFmtId="166" fontId="0" fillId="8" borderId="27" xfId="0" applyNumberFormat="1" applyFont="1" applyFill="1" applyBorder="1" applyAlignment="1" applyProtection="1">
      <alignment horizontal="right"/>
      <protection locked="0"/>
    </xf>
    <xf numFmtId="164" fontId="0" fillId="6" borderId="30" xfId="0" applyNumberFormat="1" applyFill="1" applyBorder="1" applyAlignment="1" applyProtection="1">
      <alignment horizontal="right"/>
    </xf>
    <xf numFmtId="166" fontId="3" fillId="6" borderId="30" xfId="0" applyNumberFormat="1" applyFont="1" applyFill="1" applyBorder="1" applyAlignment="1" applyProtection="1">
      <alignment horizontal="right"/>
    </xf>
    <xf numFmtId="166" fontId="0" fillId="8" borderId="32" xfId="0" applyNumberFormat="1" applyFont="1" applyFill="1" applyBorder="1" applyAlignment="1" applyProtection="1">
      <alignment horizontal="right"/>
      <protection locked="0"/>
    </xf>
    <xf numFmtId="0" fontId="6" fillId="3" borderId="29" xfId="0" applyFont="1" applyFill="1" applyBorder="1" applyProtection="1"/>
    <xf numFmtId="166" fontId="3" fillId="9" borderId="28" xfId="0" applyNumberFormat="1" applyFont="1" applyFill="1" applyBorder="1" applyAlignment="1" applyProtection="1">
      <alignment horizontal="right"/>
      <protection locked="0"/>
    </xf>
    <xf numFmtId="166" fontId="0" fillId="6" borderId="28" xfId="0" applyNumberFormat="1" applyFont="1" applyFill="1" applyBorder="1" applyAlignment="1" applyProtection="1">
      <alignment horizontal="right"/>
    </xf>
    <xf numFmtId="166" fontId="3" fillId="6" borderId="28" xfId="0" applyNumberFormat="1" applyFont="1" applyFill="1" applyBorder="1" applyAlignment="1" applyProtection="1">
      <alignment horizontal="right"/>
    </xf>
    <xf numFmtId="166" fontId="0" fillId="0" borderId="27" xfId="0" applyNumberFormat="1" applyFont="1" applyBorder="1" applyAlignment="1" applyProtection="1">
      <alignment horizontal="right"/>
      <protection locked="0"/>
    </xf>
    <xf numFmtId="166" fontId="0" fillId="0" borderId="32" xfId="0" applyNumberFormat="1" applyFont="1" applyBorder="1" applyAlignment="1" applyProtection="1">
      <alignment horizontal="right"/>
      <protection locked="0"/>
    </xf>
    <xf numFmtId="166" fontId="0" fillId="6" borderId="35" xfId="0" applyNumberFormat="1" applyFont="1" applyFill="1" applyBorder="1" applyAlignment="1" applyProtection="1">
      <alignment horizontal="right"/>
    </xf>
    <xf numFmtId="166" fontId="0" fillId="6" borderId="36" xfId="0" applyNumberFormat="1" applyFont="1" applyFill="1" applyBorder="1" applyAlignment="1" applyProtection="1">
      <alignment horizontal="right"/>
    </xf>
    <xf numFmtId="166" fontId="0" fillId="0" borderId="37" xfId="0" applyNumberFormat="1" applyFont="1" applyFill="1" applyBorder="1" applyAlignment="1" applyProtection="1">
      <alignment horizontal="right"/>
      <protection locked="0"/>
    </xf>
    <xf numFmtId="166" fontId="0" fillId="0" borderId="38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</xf>
    <xf numFmtId="166" fontId="4" fillId="4" borderId="1" xfId="0" applyNumberFormat="1" applyFont="1" applyFill="1" applyBorder="1" applyAlignment="1" applyProtection="1">
      <alignment horizontal="right"/>
    </xf>
    <xf numFmtId="166" fontId="4" fillId="4" borderId="10" xfId="0" applyNumberFormat="1" applyFont="1" applyFill="1" applyBorder="1" applyAlignment="1" applyProtection="1">
      <alignment horizontal="right"/>
    </xf>
    <xf numFmtId="166" fontId="4" fillId="4" borderId="11" xfId="0" applyNumberFormat="1" applyFont="1" applyFill="1" applyBorder="1" applyAlignment="1" applyProtection="1">
      <alignment horizontal="right"/>
    </xf>
    <xf numFmtId="166" fontId="4" fillId="4" borderId="6" xfId="0" applyNumberFormat="1" applyFont="1" applyFill="1" applyBorder="1" applyAlignment="1" applyProtection="1">
      <alignment horizontal="right"/>
    </xf>
    <xf numFmtId="166" fontId="13" fillId="0" borderId="19" xfId="0" applyNumberFormat="1" applyFont="1" applyBorder="1" applyAlignment="1" applyProtection="1">
      <alignment horizontal="center"/>
    </xf>
    <xf numFmtId="166" fontId="13" fillId="0" borderId="4" xfId="0" applyNumberFormat="1" applyFont="1" applyBorder="1" applyAlignment="1" applyProtection="1">
      <alignment horizontal="center"/>
    </xf>
    <xf numFmtId="166" fontId="13" fillId="0" borderId="43" xfId="0" applyNumberFormat="1" applyFont="1" applyBorder="1" applyAlignment="1" applyProtection="1">
      <alignment horizontal="center"/>
    </xf>
    <xf numFmtId="166" fontId="0" fillId="0" borderId="46" xfId="0" applyNumberFormat="1" applyFont="1" applyBorder="1" applyProtection="1">
      <protection locked="0"/>
    </xf>
    <xf numFmtId="166" fontId="0" fillId="0" borderId="47" xfId="0" applyNumberFormat="1" applyFont="1" applyFill="1" applyBorder="1" applyAlignment="1" applyProtection="1">
      <alignment horizontal="right"/>
    </xf>
    <xf numFmtId="166" fontId="0" fillId="0" borderId="49" xfId="0" applyNumberFormat="1" applyFont="1" applyBorder="1" applyProtection="1">
      <protection locked="0"/>
    </xf>
    <xf numFmtId="166" fontId="0" fillId="0" borderId="49" xfId="0" applyNumberFormat="1" applyFont="1" applyFill="1" applyBorder="1" applyProtection="1">
      <protection locked="0"/>
    </xf>
    <xf numFmtId="0" fontId="0" fillId="0" borderId="48" xfId="0" applyFont="1" applyBorder="1" applyProtection="1">
      <protection locked="0"/>
    </xf>
    <xf numFmtId="166" fontId="0" fillId="0" borderId="52" xfId="0" applyNumberFormat="1" applyFont="1" applyBorder="1" applyProtection="1">
      <protection locked="0"/>
    </xf>
    <xf numFmtId="165" fontId="4" fillId="9" borderId="19" xfId="0" applyNumberFormat="1" applyFont="1" applyFill="1" applyBorder="1" applyProtection="1"/>
    <xf numFmtId="166" fontId="0" fillId="9" borderId="46" xfId="0" applyNumberFormat="1" applyFont="1" applyFill="1" applyBorder="1" applyProtection="1">
      <protection locked="0"/>
    </xf>
    <xf numFmtId="166" fontId="4" fillId="9" borderId="16" xfId="0" applyNumberFormat="1" applyFont="1" applyFill="1" applyBorder="1" applyProtection="1"/>
    <xf numFmtId="166" fontId="4" fillId="9" borderId="39" xfId="0" applyNumberFormat="1" applyFont="1" applyFill="1" applyBorder="1" applyProtection="1"/>
    <xf numFmtId="166" fontId="14" fillId="11" borderId="53" xfId="0" applyNumberFormat="1" applyFont="1" applyFill="1" applyBorder="1" applyAlignment="1" applyProtection="1"/>
    <xf numFmtId="166" fontId="14" fillId="11" borderId="6" xfId="0" applyNumberFormat="1" applyFont="1" applyFill="1" applyBorder="1" applyAlignment="1" applyProtection="1"/>
    <xf numFmtId="49" fontId="0" fillId="0" borderId="30" xfId="0" applyNumberFormat="1" applyFont="1" applyFill="1" applyBorder="1" applyProtection="1"/>
    <xf numFmtId="164" fontId="0" fillId="0" borderId="30" xfId="0" applyNumberFormat="1" applyFont="1" applyFill="1" applyBorder="1" applyProtection="1">
      <protection locked="0"/>
    </xf>
    <xf numFmtId="49" fontId="0" fillId="2" borderId="0" xfId="0" applyNumberFormat="1" applyFont="1" applyFill="1" applyBorder="1" applyProtection="1"/>
    <xf numFmtId="164" fontId="0" fillId="2" borderId="0" xfId="0" applyNumberFormat="1" applyFont="1" applyFill="1" applyBorder="1" applyProtection="1">
      <protection locked="0"/>
    </xf>
    <xf numFmtId="164" fontId="4" fillId="2" borderId="0" xfId="0" applyNumberFormat="1" applyFont="1" applyFill="1" applyBorder="1" applyAlignment="1" applyProtection="1">
      <alignment horizontal="center"/>
      <protection locked="0"/>
    </xf>
    <xf numFmtId="10" fontId="0" fillId="2" borderId="0" xfId="0" applyNumberFormat="1" applyFont="1" applyFill="1"/>
    <xf numFmtId="164" fontId="4" fillId="0" borderId="30" xfId="0" applyNumberFormat="1" applyFont="1" applyFill="1" applyBorder="1" applyAlignment="1" applyProtection="1">
      <alignment horizontal="center"/>
      <protection locked="0"/>
    </xf>
    <xf numFmtId="0" fontId="4" fillId="2" borderId="30" xfId="0" applyFont="1" applyFill="1" applyBorder="1"/>
    <xf numFmtId="0" fontId="0" fillId="2" borderId="30" xfId="0" applyFill="1" applyBorder="1"/>
    <xf numFmtId="164" fontId="4" fillId="14" borderId="30" xfId="0" applyNumberFormat="1" applyFont="1" applyFill="1" applyBorder="1" applyAlignment="1" applyProtection="1">
      <alignment horizontal="center"/>
      <protection locked="0"/>
    </xf>
    <xf numFmtId="0" fontId="0" fillId="0" borderId="30" xfId="0" applyFill="1" applyBorder="1"/>
    <xf numFmtId="164" fontId="0" fillId="0" borderId="30" xfId="0" applyNumberFormat="1" applyFill="1" applyBorder="1"/>
    <xf numFmtId="0" fontId="4" fillId="2" borderId="0" xfId="0" applyFont="1" applyFill="1" applyBorder="1" applyAlignment="1" applyProtection="1">
      <alignment horizontal="right"/>
    </xf>
    <xf numFmtId="10" fontId="4" fillId="2" borderId="0" xfId="1" applyNumberFormat="1" applyFont="1" applyFill="1" applyBorder="1" applyProtection="1"/>
    <xf numFmtId="166" fontId="0" fillId="6" borderId="24" xfId="0" applyNumberFormat="1" applyFill="1" applyBorder="1" applyAlignment="1">
      <alignment horizontal="right"/>
    </xf>
    <xf numFmtId="166" fontId="0" fillId="6" borderId="25" xfId="0" applyNumberFormat="1" applyFill="1" applyBorder="1" applyAlignment="1">
      <alignment horizontal="right"/>
    </xf>
    <xf numFmtId="166" fontId="0" fillId="0" borderId="25" xfId="0" applyNumberFormat="1" applyBorder="1" applyAlignment="1" applyProtection="1">
      <alignment horizontal="right"/>
      <protection locked="0"/>
    </xf>
    <xf numFmtId="166" fontId="0" fillId="0" borderId="26" xfId="0" applyNumberFormat="1" applyBorder="1" applyAlignment="1" applyProtection="1">
      <alignment horizontal="right"/>
      <protection locked="0"/>
    </xf>
    <xf numFmtId="166" fontId="0" fillId="0" borderId="27" xfId="0" applyNumberFormat="1" applyBorder="1" applyAlignment="1" applyProtection="1">
      <alignment horizontal="right"/>
      <protection locked="0"/>
    </xf>
    <xf numFmtId="166" fontId="0" fillId="7" borderId="28" xfId="0" applyNumberFormat="1" applyFill="1" applyBorder="1" applyAlignment="1" applyProtection="1">
      <alignment horizontal="right"/>
      <protection locked="0"/>
    </xf>
    <xf numFmtId="166" fontId="0" fillId="6" borderId="30" xfId="0" applyNumberFormat="1" applyFill="1" applyBorder="1" applyAlignment="1">
      <alignment horizontal="right"/>
    </xf>
    <xf numFmtId="166" fontId="0" fillId="0" borderId="31" xfId="0" applyNumberFormat="1" applyBorder="1" applyAlignment="1" applyProtection="1">
      <alignment horizontal="right"/>
      <protection locked="0"/>
    </xf>
    <xf numFmtId="166" fontId="0" fillId="8" borderId="27" xfId="0" applyNumberFormat="1" applyFill="1" applyBorder="1" applyAlignment="1" applyProtection="1">
      <alignment horizontal="right"/>
      <protection locked="0"/>
    </xf>
    <xf numFmtId="166" fontId="3" fillId="6" borderId="30" xfId="0" applyNumberFormat="1" applyFont="1" applyFill="1" applyBorder="1" applyAlignment="1">
      <alignment horizontal="right"/>
    </xf>
    <xf numFmtId="166" fontId="0" fillId="8" borderId="32" xfId="0" applyNumberFormat="1" applyFill="1" applyBorder="1" applyAlignment="1" applyProtection="1">
      <alignment horizontal="right"/>
      <protection locked="0"/>
    </xf>
    <xf numFmtId="166" fontId="0" fillId="6" borderId="28" xfId="0" applyNumberFormat="1" applyFill="1" applyBorder="1" applyAlignment="1">
      <alignment horizontal="right"/>
    </xf>
    <xf numFmtId="166" fontId="3" fillId="0" borderId="30" xfId="0" applyNumberFormat="1" applyFont="1" applyBorder="1" applyAlignment="1" applyProtection="1">
      <alignment horizontal="right"/>
      <protection locked="0"/>
    </xf>
    <xf numFmtId="166" fontId="3" fillId="6" borderId="28" xfId="0" applyNumberFormat="1" applyFont="1" applyFill="1" applyBorder="1" applyAlignment="1">
      <alignment horizontal="right"/>
    </xf>
    <xf numFmtId="166" fontId="0" fillId="0" borderId="30" xfId="0" applyNumberFormat="1" applyBorder="1" applyAlignment="1" applyProtection="1">
      <alignment horizontal="right"/>
      <protection locked="0"/>
    </xf>
    <xf numFmtId="166" fontId="0" fillId="0" borderId="32" xfId="0" applyNumberFormat="1" applyBorder="1" applyAlignment="1" applyProtection="1">
      <alignment horizontal="right"/>
      <protection locked="0"/>
    </xf>
    <xf numFmtId="166" fontId="0" fillId="6" borderId="35" xfId="0" applyNumberFormat="1" applyFill="1" applyBorder="1" applyAlignment="1">
      <alignment horizontal="right"/>
    </xf>
    <xf numFmtId="166" fontId="0" fillId="6" borderId="36" xfId="0" applyNumberFormat="1" applyFill="1" applyBorder="1" applyAlignment="1">
      <alignment horizontal="right"/>
    </xf>
    <xf numFmtId="166" fontId="0" fillId="0" borderId="36" xfId="0" applyNumberFormat="1" applyBorder="1" applyAlignment="1" applyProtection="1">
      <alignment horizontal="right"/>
      <protection locked="0"/>
    </xf>
    <xf numFmtId="166" fontId="0" fillId="0" borderId="37" xfId="0" applyNumberFormat="1" applyBorder="1" applyAlignment="1" applyProtection="1">
      <alignment horizontal="right"/>
      <protection locked="0"/>
    </xf>
    <xf numFmtId="166" fontId="0" fillId="0" borderId="38" xfId="0" applyNumberFormat="1" applyBorder="1" applyAlignment="1" applyProtection="1">
      <alignment horizontal="right"/>
      <protection locked="0"/>
    </xf>
    <xf numFmtId="165" fontId="0" fillId="0" borderId="22" xfId="0" applyNumberFormat="1" applyBorder="1" applyProtection="1">
      <protection locked="0"/>
    </xf>
    <xf numFmtId="165" fontId="0" fillId="0" borderId="45" xfId="0" applyNumberFormat="1" applyBorder="1" applyProtection="1">
      <protection locked="0"/>
    </xf>
    <xf numFmtId="166" fontId="0" fillId="0" borderId="46" xfId="0" applyNumberFormat="1" applyBorder="1" applyProtection="1">
      <protection locked="0"/>
    </xf>
    <xf numFmtId="0" fontId="0" fillId="0" borderId="35" xfId="0" applyBorder="1" applyAlignment="1">
      <alignment horizontal="center"/>
    </xf>
    <xf numFmtId="165" fontId="0" fillId="0" borderId="35" xfId="0" applyNumberFormat="1" applyBorder="1" applyProtection="1">
      <protection locked="0"/>
    </xf>
    <xf numFmtId="165" fontId="0" fillId="0" borderId="51" xfId="0" applyNumberFormat="1" applyBorder="1" applyProtection="1">
      <protection locked="0"/>
    </xf>
    <xf numFmtId="166" fontId="0" fillId="0" borderId="52" xfId="0" applyNumberFormat="1" applyBorder="1" applyProtection="1">
      <protection locked="0"/>
    </xf>
    <xf numFmtId="0" fontId="0" fillId="0" borderId="13" xfId="0" applyBorder="1" applyAlignment="1" applyProtection="1">
      <alignment horizontal="left"/>
      <protection locked="0"/>
    </xf>
    <xf numFmtId="0" fontId="20" fillId="0" borderId="13" xfId="0" applyFont="1" applyBorder="1" applyAlignment="1" applyProtection="1">
      <alignment horizontal="left"/>
      <protection locked="0"/>
    </xf>
    <xf numFmtId="166" fontId="0" fillId="0" borderId="25" xfId="0" applyNumberFormat="1" applyFont="1" applyFill="1" applyBorder="1" applyAlignment="1" applyProtection="1">
      <alignment horizontal="right"/>
      <protection locked="0"/>
    </xf>
    <xf numFmtId="166" fontId="0" fillId="7" borderId="28" xfId="0" applyNumberFormat="1" applyFont="1" applyFill="1" applyBorder="1" applyAlignment="1" applyProtection="1">
      <alignment horizontal="right"/>
      <protection locked="0"/>
    </xf>
    <xf numFmtId="166" fontId="3" fillId="0" borderId="30" xfId="0" applyNumberFormat="1" applyFont="1" applyFill="1" applyBorder="1" applyAlignment="1" applyProtection="1">
      <alignment horizontal="right"/>
      <protection locked="0"/>
    </xf>
    <xf numFmtId="166" fontId="0" fillId="0" borderId="30" xfId="0" applyNumberFormat="1" applyFont="1" applyBorder="1" applyAlignment="1" applyProtection="1">
      <alignment horizontal="right"/>
      <protection locked="0"/>
    </xf>
    <xf numFmtId="166" fontId="0" fillId="0" borderId="36" xfId="0" applyNumberFormat="1" applyFont="1" applyBorder="1" applyAlignment="1" applyProtection="1">
      <alignment horizontal="right"/>
      <protection locked="0"/>
    </xf>
    <xf numFmtId="164" fontId="0" fillId="14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165" fontId="0" fillId="0" borderId="45" xfId="0" applyNumberFormat="1" applyFont="1" applyBorder="1" applyProtection="1">
      <protection locked="0"/>
    </xf>
    <xf numFmtId="164" fontId="0" fillId="14" borderId="27" xfId="0" applyNumberFormat="1" applyFont="1" applyFill="1" applyBorder="1" applyAlignment="1" applyProtection="1">
      <alignment horizontal="right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Fill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7" fontId="0" fillId="0" borderId="28" xfId="0" applyNumberFormat="1" applyFont="1" applyBorder="1" applyAlignment="1" applyProtection="1">
      <protection locked="0"/>
    </xf>
    <xf numFmtId="4" fontId="0" fillId="0" borderId="48" xfId="0" applyNumberFormat="1" applyFont="1" applyBorder="1" applyProtection="1">
      <protection locked="0"/>
    </xf>
    <xf numFmtId="164" fontId="0" fillId="14" borderId="12" xfId="0" applyNumberFormat="1" applyFont="1" applyFill="1" applyBorder="1" applyAlignment="1" applyProtection="1">
      <alignment horizontal="right"/>
    </xf>
    <xf numFmtId="165" fontId="0" fillId="0" borderId="35" xfId="0" applyNumberFormat="1" applyFont="1" applyBorder="1" applyProtection="1">
      <protection locked="0"/>
    </xf>
    <xf numFmtId="165" fontId="0" fillId="0" borderId="51" xfId="0" applyNumberFormat="1" applyFont="1" applyBorder="1" applyProtection="1">
      <protection locked="0"/>
    </xf>
    <xf numFmtId="49" fontId="0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Protection="1">
      <protection locked="0"/>
    </xf>
    <xf numFmtId="49" fontId="0" fillId="14" borderId="30" xfId="0" applyNumberFormat="1" applyFont="1" applyFill="1" applyBorder="1" applyAlignment="1" applyProtection="1">
      <alignment horizontal="left"/>
    </xf>
    <xf numFmtId="164" fontId="4" fillId="14" borderId="30" xfId="0" applyNumberFormat="1" applyFont="1" applyFill="1" applyBorder="1" applyProtection="1">
      <protection locked="0"/>
    </xf>
    <xf numFmtId="49" fontId="0" fillId="2" borderId="0" xfId="0" applyNumberFormat="1" applyFont="1" applyFill="1" applyBorder="1" applyAlignment="1" applyProtection="1">
      <alignment horizontal="left"/>
    </xf>
    <xf numFmtId="0" fontId="0" fillId="3" borderId="30" xfId="0" applyFill="1" applyBorder="1"/>
    <xf numFmtId="49" fontId="0" fillId="3" borderId="30" xfId="0" applyNumberFormat="1" applyFont="1" applyFill="1" applyBorder="1" applyAlignment="1" applyProtection="1">
      <alignment horizontal="left"/>
    </xf>
    <xf numFmtId="0" fontId="0" fillId="14" borderId="30" xfId="0" applyFill="1" applyBorder="1"/>
    <xf numFmtId="4" fontId="0" fillId="14" borderId="30" xfId="0" applyNumberFormat="1" applyFill="1" applyBorder="1"/>
    <xf numFmtId="4" fontId="0" fillId="2" borderId="0" xfId="0" applyNumberFormat="1" applyFill="1"/>
    <xf numFmtId="0" fontId="0" fillId="0" borderId="26" xfId="0" applyFont="1" applyFill="1" applyBorder="1" applyAlignment="1" applyProtection="1">
      <protection locked="0"/>
    </xf>
    <xf numFmtId="0" fontId="0" fillId="0" borderId="58" xfId="0" applyFont="1" applyFill="1" applyBorder="1" applyAlignment="1" applyProtection="1">
      <protection locked="0"/>
    </xf>
    <xf numFmtId="0" fontId="20" fillId="0" borderId="58" xfId="0" applyFont="1" applyFill="1" applyBorder="1" applyAlignment="1" applyProtection="1">
      <protection locked="0"/>
    </xf>
    <xf numFmtId="0" fontId="20" fillId="0" borderId="0" xfId="0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26" xfId="0" applyFont="1" applyFill="1" applyBorder="1" applyAlignment="1" applyProtection="1">
      <alignment horizontal="left"/>
      <protection locked="0"/>
    </xf>
    <xf numFmtId="0" fontId="0" fillId="0" borderId="58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31" xfId="0" applyFont="1" applyFill="1" applyBorder="1" applyAlignment="1" applyProtection="1">
      <alignment horizontal="left"/>
      <protection locked="0"/>
    </xf>
    <xf numFmtId="0" fontId="0" fillId="0" borderId="60" xfId="0" applyFont="1" applyFill="1" applyBorder="1" applyAlignment="1" applyProtection="1">
      <alignment horizontal="left"/>
      <protection locked="0"/>
    </xf>
    <xf numFmtId="0" fontId="0" fillId="0" borderId="13" xfId="0" applyFont="1" applyFill="1" applyBorder="1" applyAlignment="1" applyProtection="1">
      <alignment horizontal="left"/>
      <protection locked="0"/>
    </xf>
    <xf numFmtId="164" fontId="10" fillId="0" borderId="30" xfId="0" applyNumberFormat="1" applyFont="1" applyBorder="1" applyAlignment="1" applyProtection="1">
      <alignment horizontal="right"/>
      <protection locked="0"/>
    </xf>
    <xf numFmtId="164" fontId="10" fillId="0" borderId="30" xfId="0" applyNumberFormat="1" applyFont="1" applyBorder="1"/>
    <xf numFmtId="0" fontId="0" fillId="0" borderId="0" xfId="0" applyAlignment="1" applyProtection="1">
      <alignment horizontal="left"/>
      <protection locked="0"/>
    </xf>
    <xf numFmtId="0" fontId="21" fillId="0" borderId="0" xfId="0" applyFont="1"/>
    <xf numFmtId="4" fontId="3" fillId="0" borderId="30" xfId="0" applyNumberFormat="1" applyFont="1" applyBorder="1" applyAlignment="1" applyProtection="1">
      <alignment horizontal="right"/>
      <protection locked="0"/>
    </xf>
    <xf numFmtId="4" fontId="0" fillId="0" borderId="22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4" fontId="0" fillId="0" borderId="48" xfId="0" applyNumberFormat="1" applyBorder="1" applyProtection="1">
      <protection locked="0"/>
    </xf>
    <xf numFmtId="4" fontId="0" fillId="0" borderId="35" xfId="0" applyNumberFormat="1" applyBorder="1" applyProtection="1">
      <protection locked="0"/>
    </xf>
    <xf numFmtId="4" fontId="4" fillId="0" borderId="30" xfId="0" applyNumberFormat="1" applyFont="1" applyBorder="1" applyAlignment="1" applyProtection="1">
      <alignment horizontal="right"/>
      <protection locked="0"/>
    </xf>
    <xf numFmtId="0" fontId="4" fillId="0" borderId="13" xfId="0" applyFont="1" applyBorder="1"/>
    <xf numFmtId="0" fontId="6" fillId="3" borderId="29" xfId="0" applyFont="1" applyFill="1" applyBorder="1"/>
    <xf numFmtId="168" fontId="0" fillId="0" borderId="28" xfId="0" applyNumberFormat="1" applyBorder="1" applyProtection="1">
      <protection locked="0"/>
    </xf>
    <xf numFmtId="49" fontId="0" fillId="0" borderId="30" xfId="0" applyNumberFormat="1" applyBorder="1"/>
    <xf numFmtId="164" fontId="0" fillId="0" borderId="30" xfId="0" applyNumberFormat="1" applyBorder="1" applyProtection="1">
      <protection locked="0"/>
    </xf>
    <xf numFmtId="49" fontId="0" fillId="2" borderId="0" xfId="0" applyNumberFormat="1" applyFill="1"/>
    <xf numFmtId="164" fontId="0" fillId="2" borderId="0" xfId="0" applyNumberFormat="1" applyFill="1" applyProtection="1">
      <protection locked="0"/>
    </xf>
    <xf numFmtId="164" fontId="4" fillId="2" borderId="0" xfId="0" applyNumberFormat="1" applyFont="1" applyFill="1" applyAlignment="1" applyProtection="1">
      <alignment horizontal="center"/>
      <protection locked="0"/>
    </xf>
    <xf numFmtId="164" fontId="0" fillId="2" borderId="0" xfId="0" applyNumberFormat="1" applyFill="1"/>
    <xf numFmtId="164" fontId="4" fillId="2" borderId="48" xfId="0" applyNumberFormat="1" applyFont="1" applyFill="1" applyBorder="1" applyProtection="1">
      <protection locked="0"/>
    </xf>
    <xf numFmtId="164" fontId="4" fillId="0" borderId="30" xfId="0" applyNumberFormat="1" applyFont="1" applyBorder="1" applyAlignment="1" applyProtection="1">
      <alignment horizontal="center"/>
      <protection locked="0"/>
    </xf>
    <xf numFmtId="0" fontId="0" fillId="0" borderId="30" xfId="0" applyBorder="1"/>
    <xf numFmtId="164" fontId="0" fillId="0" borderId="30" xfId="0" applyNumberFormat="1" applyBorder="1"/>
    <xf numFmtId="164" fontId="4" fillId="14" borderId="3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Alignment="1">
      <alignment horizontal="right"/>
    </xf>
    <xf numFmtId="164" fontId="4" fillId="0" borderId="59" xfId="0" applyNumberFormat="1" applyFont="1" applyFill="1" applyBorder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164" fontId="0" fillId="0" borderId="48" xfId="0" applyNumberFormat="1" applyBorder="1" applyAlignment="1" applyProtection="1">
      <alignment horizontal="right"/>
      <protection locked="0"/>
    </xf>
    <xf numFmtId="165" fontId="0" fillId="0" borderId="48" xfId="0" applyNumberFormat="1" applyBorder="1" applyAlignment="1" applyProtection="1">
      <alignment horizontal="right"/>
      <protection locked="0"/>
    </xf>
    <xf numFmtId="0" fontId="22" fillId="0" borderId="13" xfId="0" applyFont="1" applyBorder="1"/>
    <xf numFmtId="0" fontId="4" fillId="0" borderId="0" xfId="0" applyFont="1"/>
    <xf numFmtId="164" fontId="6" fillId="0" borderId="25" xfId="0" applyNumberFormat="1" applyFont="1" applyBorder="1" applyAlignment="1" applyProtection="1">
      <alignment horizontal="right"/>
      <protection locked="0"/>
    </xf>
    <xf numFmtId="164" fontId="6" fillId="0" borderId="26" xfId="0" applyNumberFormat="1" applyFont="1" applyBorder="1" applyAlignment="1" applyProtection="1">
      <alignment horizontal="right"/>
      <protection locked="0"/>
    </xf>
    <xf numFmtId="164" fontId="6" fillId="0" borderId="27" xfId="0" applyNumberFormat="1" applyFont="1" applyBorder="1" applyAlignment="1" applyProtection="1">
      <alignment horizontal="right"/>
      <protection locked="0"/>
    </xf>
    <xf numFmtId="164" fontId="24" fillId="6" borderId="24" xfId="0" applyNumberFormat="1" applyFont="1" applyFill="1" applyBorder="1" applyAlignment="1">
      <alignment horizontal="right"/>
    </xf>
    <xf numFmtId="164" fontId="24" fillId="6" borderId="25" xfId="0" applyNumberFormat="1" applyFont="1" applyFill="1" applyBorder="1" applyAlignment="1">
      <alignment horizontal="right"/>
    </xf>
    <xf numFmtId="164" fontId="6" fillId="0" borderId="27" xfId="0" applyNumberFormat="1" applyFont="1" applyBorder="1" applyAlignment="1">
      <alignment horizontal="right"/>
    </xf>
    <xf numFmtId="164" fontId="6" fillId="6" borderId="30" xfId="0" applyNumberFormat="1" applyFont="1" applyFill="1" applyBorder="1" applyAlignment="1">
      <alignment horizontal="right"/>
    </xf>
    <xf numFmtId="164" fontId="6" fillId="0" borderId="31" xfId="0" applyNumberFormat="1" applyFont="1" applyBorder="1" applyAlignment="1" applyProtection="1">
      <alignment horizontal="right"/>
      <protection locked="0"/>
    </xf>
    <xf numFmtId="164" fontId="6" fillId="8" borderId="27" xfId="0" applyNumberFormat="1" applyFont="1" applyFill="1" applyBorder="1" applyAlignment="1" applyProtection="1">
      <alignment horizontal="right"/>
      <protection locked="0"/>
    </xf>
    <xf numFmtId="165" fontId="0" fillId="7" borderId="28" xfId="0" applyNumberFormat="1" applyFill="1" applyBorder="1" applyAlignment="1" applyProtection="1">
      <alignment horizontal="right"/>
      <protection locked="0"/>
    </xf>
    <xf numFmtId="164" fontId="24" fillId="6" borderId="30" xfId="0" applyNumberFormat="1" applyFont="1" applyFill="1" applyBorder="1" applyAlignment="1">
      <alignment horizontal="right"/>
    </xf>
    <xf numFmtId="164" fontId="6" fillId="8" borderId="32" xfId="0" applyNumberFormat="1" applyFont="1" applyFill="1" applyBorder="1" applyAlignment="1" applyProtection="1">
      <alignment horizontal="right"/>
      <protection locked="0"/>
    </xf>
    <xf numFmtId="165" fontId="3" fillId="9" borderId="28" xfId="0" applyNumberFormat="1" applyFont="1" applyFill="1" applyBorder="1" applyAlignment="1" applyProtection="1">
      <alignment horizontal="right"/>
      <protection locked="0"/>
    </xf>
    <xf numFmtId="164" fontId="6" fillId="9" borderId="28" xfId="0" applyNumberFormat="1" applyFont="1" applyFill="1" applyBorder="1" applyAlignment="1" applyProtection="1">
      <alignment horizontal="right"/>
      <protection locked="0"/>
    </xf>
    <xf numFmtId="164" fontId="10" fillId="9" borderId="28" xfId="0" applyNumberFormat="1" applyFont="1" applyFill="1" applyBorder="1" applyAlignment="1" applyProtection="1">
      <alignment horizontal="right"/>
      <protection locked="0"/>
    </xf>
    <xf numFmtId="164" fontId="24" fillId="6" borderId="28" xfId="0" applyNumberFormat="1" applyFont="1" applyFill="1" applyBorder="1" applyAlignment="1">
      <alignment horizontal="right"/>
    </xf>
    <xf numFmtId="164" fontId="6" fillId="6" borderId="28" xfId="0" applyNumberFormat="1" applyFont="1" applyFill="1" applyBorder="1" applyAlignment="1">
      <alignment horizontal="right"/>
    </xf>
    <xf numFmtId="164" fontId="6" fillId="0" borderId="30" xfId="0" applyNumberFormat="1" applyFont="1" applyBorder="1" applyAlignment="1" applyProtection="1">
      <alignment horizontal="right"/>
      <protection locked="0"/>
    </xf>
    <xf numFmtId="164" fontId="6" fillId="0" borderId="32" xfId="0" applyNumberFormat="1" applyFont="1" applyBorder="1" applyAlignment="1" applyProtection="1">
      <alignment horizontal="right"/>
      <protection locked="0"/>
    </xf>
    <xf numFmtId="164" fontId="6" fillId="0" borderId="36" xfId="0" applyNumberFormat="1" applyFont="1" applyBorder="1" applyAlignment="1" applyProtection="1">
      <alignment horizontal="right"/>
      <protection locked="0"/>
    </xf>
    <xf numFmtId="164" fontId="6" fillId="0" borderId="37" xfId="0" applyNumberFormat="1" applyFont="1" applyBorder="1" applyAlignment="1" applyProtection="1">
      <alignment horizontal="right"/>
      <protection locked="0"/>
    </xf>
    <xf numFmtId="164" fontId="6" fillId="0" borderId="38" xfId="0" applyNumberFormat="1" applyFont="1" applyBorder="1" applyAlignment="1" applyProtection="1">
      <alignment horizontal="right"/>
      <protection locked="0"/>
    </xf>
    <xf numFmtId="164" fontId="6" fillId="6" borderId="35" xfId="0" applyNumberFormat="1" applyFont="1" applyFill="1" applyBorder="1" applyAlignment="1">
      <alignment horizontal="right"/>
    </xf>
    <xf numFmtId="164" fontId="6" fillId="6" borderId="36" xfId="0" applyNumberFormat="1" applyFont="1" applyFill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164" fontId="10" fillId="4" borderId="10" xfId="0" applyNumberFormat="1" applyFont="1" applyFill="1" applyBorder="1" applyAlignment="1">
      <alignment horizontal="right"/>
    </xf>
    <xf numFmtId="164" fontId="10" fillId="4" borderId="11" xfId="0" applyNumberFormat="1" applyFont="1" applyFill="1" applyBorder="1" applyAlignment="1">
      <alignment horizontal="right"/>
    </xf>
    <xf numFmtId="164" fontId="10" fillId="4" borderId="6" xfId="0" applyNumberFormat="1" applyFont="1" applyFill="1" applyBorder="1" applyAlignment="1">
      <alignment horizontal="right"/>
    </xf>
    <xf numFmtId="0" fontId="26" fillId="0" borderId="19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164" fontId="6" fillId="0" borderId="45" xfId="0" applyNumberFormat="1" applyFont="1" applyBorder="1" applyProtection="1">
      <protection locked="0"/>
    </xf>
    <xf numFmtId="164" fontId="6" fillId="0" borderId="46" xfId="0" applyNumberFormat="1" applyFont="1" applyBorder="1" applyProtection="1">
      <protection locked="0"/>
    </xf>
    <xf numFmtId="164" fontId="6" fillId="0" borderId="47" xfId="0" applyNumberFormat="1" applyFont="1" applyBorder="1" applyAlignment="1">
      <alignment horizontal="right"/>
    </xf>
    <xf numFmtId="164" fontId="6" fillId="0" borderId="22" xfId="0" applyNumberFormat="1" applyFont="1" applyBorder="1" applyProtection="1">
      <protection locked="0"/>
    </xf>
    <xf numFmtId="164" fontId="6" fillId="0" borderId="48" xfId="0" applyNumberFormat="1" applyFont="1" applyBorder="1" applyProtection="1">
      <protection locked="0"/>
    </xf>
    <xf numFmtId="164" fontId="6" fillId="0" borderId="49" xfId="0" applyNumberFormat="1" applyFont="1" applyBorder="1" applyProtection="1">
      <protection locked="0"/>
    </xf>
    <xf numFmtId="164" fontId="6" fillId="0" borderId="28" xfId="0" applyNumberFormat="1" applyFont="1" applyBorder="1" applyProtection="1">
      <protection locked="0"/>
    </xf>
    <xf numFmtId="0" fontId="6" fillId="0" borderId="48" xfId="0" applyFont="1" applyBorder="1" applyProtection="1">
      <protection locked="0"/>
    </xf>
    <xf numFmtId="168" fontId="6" fillId="0" borderId="28" xfId="0" applyNumberFormat="1" applyFont="1" applyBorder="1" applyProtection="1">
      <protection locked="0"/>
    </xf>
    <xf numFmtId="0" fontId="6" fillId="0" borderId="28" xfId="0" applyFont="1" applyBorder="1" applyProtection="1">
      <protection locked="0"/>
    </xf>
    <xf numFmtId="168" fontId="6" fillId="0" borderId="48" xfId="0" applyNumberFormat="1" applyFont="1" applyBorder="1" applyProtection="1">
      <protection locked="0"/>
    </xf>
    <xf numFmtId="164" fontId="6" fillId="0" borderId="51" xfId="0" applyNumberFormat="1" applyFont="1" applyBorder="1" applyProtection="1">
      <protection locked="0"/>
    </xf>
    <xf numFmtId="164" fontId="6" fillId="0" borderId="52" xfId="0" applyNumberFormat="1" applyFont="1" applyBorder="1" applyProtection="1">
      <protection locked="0"/>
    </xf>
    <xf numFmtId="164" fontId="6" fillId="0" borderId="35" xfId="0" applyNumberFormat="1" applyFont="1" applyBorder="1" applyProtection="1">
      <protection locked="0"/>
    </xf>
    <xf numFmtId="164" fontId="10" fillId="9" borderId="19" xfId="0" applyNumberFormat="1" applyFont="1" applyFill="1" applyBorder="1"/>
    <xf numFmtId="164" fontId="6" fillId="9" borderId="46" xfId="0" applyNumberFormat="1" applyFont="1" applyFill="1" applyBorder="1" applyProtection="1">
      <protection locked="0"/>
    </xf>
    <xf numFmtId="164" fontId="10" fillId="9" borderId="16" xfId="0" applyNumberFormat="1" applyFont="1" applyFill="1" applyBorder="1"/>
    <xf numFmtId="164" fontId="10" fillId="9" borderId="39" xfId="0" applyNumberFormat="1" applyFont="1" applyFill="1" applyBorder="1"/>
    <xf numFmtId="165" fontId="23" fillId="10" borderId="53" xfId="0" applyNumberFormat="1" applyFont="1" applyFill="1" applyBorder="1"/>
    <xf numFmtId="165" fontId="27" fillId="10" borderId="53" xfId="0" applyNumberFormat="1" applyFont="1" applyFill="1" applyBorder="1"/>
    <xf numFmtId="164" fontId="10" fillId="0" borderId="17" xfId="0" applyNumberFormat="1" applyFont="1" applyBorder="1" applyProtection="1">
      <protection locked="0"/>
    </xf>
    <xf numFmtId="164" fontId="10" fillId="0" borderId="55" xfId="0" applyNumberFormat="1" applyFont="1" applyBorder="1" applyProtection="1">
      <protection locked="0"/>
    </xf>
    <xf numFmtId="0" fontId="10" fillId="13" borderId="30" xfId="0" applyFont="1" applyFill="1" applyBorder="1"/>
    <xf numFmtId="164" fontId="10" fillId="13" borderId="30" xfId="0" applyNumberFormat="1" applyFont="1" applyFill="1" applyBorder="1" applyAlignment="1">
      <alignment horizontal="center"/>
    </xf>
    <xf numFmtId="164" fontId="10" fillId="2" borderId="0" xfId="0" applyNumberFormat="1" applyFont="1" applyFill="1"/>
    <xf numFmtId="0" fontId="10" fillId="2" borderId="0" xfId="0" applyFont="1" applyFill="1"/>
    <xf numFmtId="164" fontId="28" fillId="2" borderId="0" xfId="0" applyNumberFormat="1" applyFont="1" applyFill="1" applyAlignment="1">
      <alignment horizontal="right"/>
    </xf>
    <xf numFmtId="49" fontId="6" fillId="0" borderId="30" xfId="0" applyNumberFormat="1" applyFont="1" applyBorder="1"/>
    <xf numFmtId="164" fontId="6" fillId="0" borderId="30" xfId="0" applyNumberFormat="1" applyFont="1" applyBorder="1" applyProtection="1">
      <protection locked="0"/>
    </xf>
    <xf numFmtId="164" fontId="10" fillId="0" borderId="30" xfId="0" applyNumberFormat="1" applyFont="1" applyBorder="1" applyProtection="1">
      <protection locked="0"/>
    </xf>
    <xf numFmtId="49" fontId="6" fillId="2" borderId="0" xfId="0" applyNumberFormat="1" applyFont="1" applyFill="1"/>
    <xf numFmtId="164" fontId="6" fillId="2" borderId="0" xfId="0" applyNumberFormat="1" applyFont="1" applyFill="1" applyProtection="1">
      <protection locked="0"/>
    </xf>
    <xf numFmtId="164" fontId="10" fillId="2" borderId="0" xfId="0" applyNumberFormat="1" applyFont="1" applyFill="1" applyProtection="1">
      <protection locked="0"/>
    </xf>
    <xf numFmtId="164" fontId="10" fillId="2" borderId="0" xfId="0" applyNumberFormat="1" applyFont="1" applyFill="1" applyAlignment="1" applyProtection="1">
      <alignment horizontal="center"/>
      <protection locked="0"/>
    </xf>
    <xf numFmtId="164" fontId="29" fillId="0" borderId="30" xfId="0" applyNumberFormat="1" applyFont="1" applyBorder="1" applyProtection="1">
      <protection locked="0"/>
    </xf>
    <xf numFmtId="164" fontId="29" fillId="0" borderId="0" xfId="0" applyNumberFormat="1" applyFont="1" applyProtection="1">
      <protection locked="0"/>
    </xf>
    <xf numFmtId="164" fontId="10" fillId="2" borderId="0" xfId="0" applyNumberFormat="1" applyFont="1" applyFill="1" applyAlignment="1">
      <alignment horizontal="center"/>
    </xf>
    <xf numFmtId="10" fontId="6" fillId="2" borderId="0" xfId="0" applyNumberFormat="1" applyFont="1" applyFill="1"/>
    <xf numFmtId="164" fontId="10" fillId="0" borderId="30" xfId="0" applyNumberFormat="1" applyFont="1" applyBorder="1" applyAlignment="1" applyProtection="1">
      <alignment horizontal="center"/>
      <protection locked="0"/>
    </xf>
    <xf numFmtId="164" fontId="10" fillId="14" borderId="30" xfId="0" applyNumberFormat="1" applyFont="1" applyFill="1" applyBorder="1" applyAlignment="1" applyProtection="1">
      <alignment horizontal="center"/>
      <protection locked="0"/>
    </xf>
    <xf numFmtId="0" fontId="6" fillId="0" borderId="30" xfId="0" applyFont="1" applyBorder="1"/>
    <xf numFmtId="164" fontId="6" fillId="0" borderId="30" xfId="0" applyNumberFormat="1" applyFont="1" applyBorder="1"/>
    <xf numFmtId="164" fontId="10" fillId="2" borderId="0" xfId="0" applyNumberFormat="1" applyFont="1" applyFill="1" applyAlignment="1" applyProtection="1">
      <alignment horizontal="right"/>
      <protection locked="0"/>
    </xf>
    <xf numFmtId="164" fontId="10" fillId="14" borderId="30" xfId="0" applyNumberFormat="1" applyFont="1" applyFill="1" applyBorder="1" applyAlignment="1" applyProtection="1">
      <alignment horizontal="right"/>
      <protection locked="0"/>
    </xf>
    <xf numFmtId="0" fontId="30" fillId="0" borderId="13" xfId="0" applyFont="1" applyBorder="1"/>
    <xf numFmtId="0" fontId="30" fillId="0" borderId="0" xfId="0" applyFont="1"/>
    <xf numFmtId="0" fontId="7" fillId="0" borderId="13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30" xfId="0" applyBorder="1" applyAlignment="1">
      <alignment vertical="center" wrapText="1"/>
    </xf>
    <xf numFmtId="0" fontId="4" fillId="2" borderId="0" xfId="0" applyFont="1" applyFill="1" applyBorder="1"/>
    <xf numFmtId="0" fontId="0" fillId="14" borderId="57" xfId="0" applyFill="1" applyBorder="1"/>
    <xf numFmtId="0" fontId="0" fillId="14" borderId="0" xfId="0" applyFill="1"/>
    <xf numFmtId="164" fontId="4" fillId="2" borderId="30" xfId="0" applyNumberFormat="1" applyFont="1" applyFill="1" applyBorder="1" applyProtection="1">
      <protection locked="0"/>
    </xf>
    <xf numFmtId="164" fontId="0" fillId="0" borderId="31" xfId="0" applyNumberFormat="1" applyFont="1" applyBorder="1" applyAlignment="1" applyProtection="1">
      <alignment horizontal="right"/>
      <protection locked="0"/>
    </xf>
    <xf numFmtId="164" fontId="0" fillId="0" borderId="39" xfId="0" applyNumberFormat="1" applyFont="1" applyFill="1" applyBorder="1" applyAlignment="1" applyProtection="1">
      <alignment horizontal="right"/>
      <protection locked="0"/>
    </xf>
    <xf numFmtId="2" fontId="0" fillId="0" borderId="48" xfId="0" applyNumberFormat="1" applyBorder="1" applyProtection="1">
      <protection locked="0"/>
    </xf>
    <xf numFmtId="164" fontId="13" fillId="0" borderId="30" xfId="0" applyNumberFormat="1" applyFont="1" applyBorder="1" applyAlignment="1" applyProtection="1">
      <alignment horizontal="right"/>
      <protection locked="0"/>
    </xf>
    <xf numFmtId="164" fontId="13" fillId="0" borderId="30" xfId="0" applyNumberFormat="1" applyFont="1" applyBorder="1"/>
    <xf numFmtId="0" fontId="4" fillId="0" borderId="13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14" borderId="0" xfId="0" applyFont="1" applyFill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2" fillId="0" borderId="42" xfId="0" applyFont="1" applyFill="1" applyBorder="1" applyAlignment="1" applyProtection="1">
      <alignment horizontal="center" vertical="center"/>
    </xf>
    <xf numFmtId="0" fontId="12" fillId="0" borderId="44" xfId="0" applyFont="1" applyFill="1" applyBorder="1" applyAlignment="1" applyProtection="1">
      <alignment horizontal="center" vertical="center"/>
    </xf>
    <xf numFmtId="0" fontId="4" fillId="13" borderId="41" xfId="0" applyFont="1" applyFill="1" applyBorder="1" applyAlignment="1" applyProtection="1">
      <alignment horizontal="left" vertical="center"/>
    </xf>
    <xf numFmtId="0" fontId="4" fillId="13" borderId="54" xfId="0" applyFont="1" applyFill="1" applyBorder="1" applyAlignment="1" applyProtection="1">
      <alignment horizontal="left" vertical="center"/>
    </xf>
    <xf numFmtId="0" fontId="4" fillId="13" borderId="21" xfId="0" applyFont="1" applyFill="1" applyBorder="1" applyAlignment="1" applyProtection="1">
      <alignment horizontal="left" vertical="center"/>
    </xf>
    <xf numFmtId="164" fontId="4" fillId="0" borderId="56" xfId="0" applyNumberFormat="1" applyFont="1" applyFill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164" fontId="0" fillId="0" borderId="2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wrapText="1"/>
    </xf>
    <xf numFmtId="0" fontId="4" fillId="0" borderId="7" xfId="0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164" fontId="10" fillId="9" borderId="14" xfId="0" applyNumberFormat="1" applyFont="1" applyFill="1" applyBorder="1" applyAlignment="1" applyProtection="1">
      <alignment horizontal="center"/>
    </xf>
    <xf numFmtId="164" fontId="10" fillId="9" borderId="15" xfId="0" applyNumberFormat="1" applyFont="1" applyFill="1" applyBorder="1" applyAlignment="1" applyProtection="1">
      <alignment horizontal="center"/>
    </xf>
    <xf numFmtId="164" fontId="10" fillId="9" borderId="40" xfId="0" applyNumberFormat="1" applyFont="1" applyFill="1" applyBorder="1" applyAlignment="1" applyProtection="1">
      <alignment horizontal="center"/>
    </xf>
    <xf numFmtId="164" fontId="10" fillId="9" borderId="42" xfId="0" applyNumberFormat="1" applyFont="1" applyFill="1" applyBorder="1" applyAlignment="1" applyProtection="1">
      <alignment horizontal="center"/>
    </xf>
    <xf numFmtId="10" fontId="11" fillId="0" borderId="6" xfId="0" applyNumberFormat="1" applyFont="1" applyFill="1" applyBorder="1" applyAlignment="1" applyProtection="1">
      <alignment horizontal="center" vertical="center" wrapText="1"/>
    </xf>
    <xf numFmtId="10" fontId="11" fillId="0" borderId="12" xfId="0" applyNumberFormat="1" applyFont="1" applyFill="1" applyBorder="1" applyAlignment="1" applyProtection="1">
      <alignment horizontal="center" vertical="center" wrapText="1"/>
    </xf>
    <xf numFmtId="10" fontId="11" fillId="0" borderId="21" xfId="0" applyNumberFormat="1" applyFont="1" applyFill="1" applyBorder="1" applyAlignment="1" applyProtection="1">
      <alignment horizontal="center" vertical="center" wrapText="1"/>
    </xf>
    <xf numFmtId="164" fontId="4" fillId="0" borderId="14" xfId="0" applyNumberFormat="1" applyFont="1" applyBorder="1" applyAlignment="1" applyProtection="1">
      <alignment horizontal="center"/>
    </xf>
    <xf numFmtId="164" fontId="4" fillId="0" borderId="15" xfId="0" applyNumberFormat="1" applyFont="1" applyBorder="1" applyAlignment="1" applyProtection="1">
      <alignment horizontal="center"/>
    </xf>
    <xf numFmtId="164" fontId="0" fillId="0" borderId="6" xfId="0" applyNumberFormat="1" applyFont="1" applyBorder="1" applyAlignment="1" applyProtection="1">
      <alignment horizontal="center" vertical="center"/>
    </xf>
    <xf numFmtId="164" fontId="0" fillId="0" borderId="21" xfId="0" applyNumberFormat="1" applyFont="1" applyBorder="1" applyAlignment="1" applyProtection="1">
      <alignment horizontal="center" vertical="center"/>
    </xf>
    <xf numFmtId="164" fontId="12" fillId="0" borderId="42" xfId="0" applyNumberFormat="1" applyFont="1" applyFill="1" applyBorder="1" applyAlignment="1" applyProtection="1">
      <alignment horizontal="center" vertical="center"/>
    </xf>
    <xf numFmtId="164" fontId="12" fillId="0" borderId="44" xfId="0" applyNumberFormat="1" applyFont="1" applyFill="1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0" fontId="4" fillId="0" borderId="6" xfId="0" applyNumberFormat="1" applyFont="1" applyBorder="1" applyAlignment="1" applyProtection="1">
      <alignment horizontal="center" vertical="center" wrapText="1"/>
    </xf>
    <xf numFmtId="10" fontId="4" fillId="0" borderId="12" xfId="0" applyNumberFormat="1" applyFont="1" applyBorder="1" applyAlignment="1" applyProtection="1">
      <alignment horizontal="center" vertical="center" wrapText="1"/>
    </xf>
    <xf numFmtId="10" fontId="4" fillId="0" borderId="21" xfId="0" applyNumberFormat="1" applyFont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14" borderId="0" xfId="0" applyFont="1" applyFill="1" applyAlignment="1" applyProtection="1">
      <alignment horizontal="left"/>
      <protection locked="0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4" fillId="13" borderId="41" xfId="0" applyFont="1" applyFill="1" applyBorder="1" applyAlignment="1">
      <alignment horizontal="left" vertical="center"/>
    </xf>
    <xf numFmtId="0" fontId="4" fillId="13" borderId="54" xfId="0" applyFont="1" applyFill="1" applyBorder="1" applyAlignment="1">
      <alignment horizontal="left" vertical="center"/>
    </xf>
    <xf numFmtId="0" fontId="4" fillId="13" borderId="21" xfId="0" applyFont="1" applyFill="1" applyBorder="1" applyAlignment="1">
      <alignment horizontal="left" vertical="center"/>
    </xf>
    <xf numFmtId="164" fontId="4" fillId="0" borderId="56" xfId="0" applyNumberFormat="1" applyFont="1" applyBorder="1" applyAlignment="1" applyProtection="1">
      <alignment horizontal="left"/>
      <protection locked="0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4" fontId="10" fillId="9" borderId="14" xfId="0" applyNumberFormat="1" applyFont="1" applyFill="1" applyBorder="1" applyAlignment="1">
      <alignment horizontal="center"/>
    </xf>
    <xf numFmtId="164" fontId="10" fillId="9" borderId="15" xfId="0" applyNumberFormat="1" applyFont="1" applyFill="1" applyBorder="1" applyAlignment="1">
      <alignment horizontal="center"/>
    </xf>
    <xf numFmtId="164" fontId="10" fillId="9" borderId="40" xfId="0" applyNumberFormat="1" applyFont="1" applyFill="1" applyBorder="1" applyAlignment="1">
      <alignment horizontal="center"/>
    </xf>
    <xf numFmtId="164" fontId="10" fillId="9" borderId="42" xfId="0" applyNumberFormat="1" applyFont="1" applyFill="1" applyBorder="1" applyAlignment="1">
      <alignment horizontal="center"/>
    </xf>
    <xf numFmtId="166" fontId="10" fillId="9" borderId="14" xfId="0" applyNumberFormat="1" applyFont="1" applyFill="1" applyBorder="1" applyAlignment="1">
      <alignment horizontal="center"/>
    </xf>
    <xf numFmtId="166" fontId="10" fillId="9" borderId="15" xfId="0" applyNumberFormat="1" applyFont="1" applyFill="1" applyBorder="1" applyAlignment="1">
      <alignment horizontal="center"/>
    </xf>
    <xf numFmtId="166" fontId="10" fillId="9" borderId="40" xfId="0" applyNumberFormat="1" applyFont="1" applyFill="1" applyBorder="1" applyAlignment="1">
      <alignment horizontal="center"/>
    </xf>
    <xf numFmtId="166" fontId="10" fillId="9" borderId="42" xfId="0" applyNumberFormat="1" applyFont="1" applyFill="1" applyBorder="1" applyAlignment="1">
      <alignment horizontal="center"/>
    </xf>
    <xf numFmtId="10" fontId="11" fillId="0" borderId="6" xfId="0" applyNumberFormat="1" applyFont="1" applyBorder="1" applyAlignment="1">
      <alignment horizontal="center" vertical="center" wrapText="1"/>
    </xf>
    <xf numFmtId="10" fontId="11" fillId="0" borderId="12" xfId="0" applyNumberFormat="1" applyFont="1" applyBorder="1" applyAlignment="1">
      <alignment horizontal="center" vertical="center" wrapText="1"/>
    </xf>
    <xf numFmtId="10" fontId="11" fillId="0" borderId="21" xfId="0" applyNumberFormat="1" applyFont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/>
    </xf>
    <xf numFmtId="166" fontId="4" fillId="0" borderId="15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2" fillId="0" borderId="42" xfId="0" applyNumberFormat="1" applyFont="1" applyBorder="1" applyAlignment="1">
      <alignment horizontal="center" vertical="center"/>
    </xf>
    <xf numFmtId="166" fontId="12" fillId="0" borderId="4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 wrapText="1"/>
    </xf>
    <xf numFmtId="10" fontId="4" fillId="0" borderId="12" xfId="0" applyNumberFormat="1" applyFont="1" applyBorder="1" applyAlignment="1">
      <alignment horizontal="center" vertical="center" wrapText="1"/>
    </xf>
    <xf numFmtId="10" fontId="4" fillId="0" borderId="21" xfId="0" applyNumberFormat="1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0" fillId="0" borderId="30" xfId="0" applyNumberFormat="1" applyFont="1" applyFill="1" applyBorder="1" applyAlignment="1" applyProtection="1">
      <alignment horizontal="left" indent="2"/>
    </xf>
    <xf numFmtId="49" fontId="0" fillId="0" borderId="30" xfId="0" applyNumberFormat="1" applyFont="1" applyFill="1" applyBorder="1" applyAlignment="1" applyProtection="1">
      <alignment horizontal="left"/>
    </xf>
    <xf numFmtId="164" fontId="4" fillId="2" borderId="0" xfId="0" applyNumberFormat="1" applyFont="1" applyFill="1" applyBorder="1" applyAlignment="1" applyProtection="1">
      <alignment horizontal="center"/>
      <protection locked="0"/>
    </xf>
    <xf numFmtId="0" fontId="0" fillId="0" borderId="31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48" xfId="0" applyBorder="1" applyAlignment="1">
      <alignment horizontal="center"/>
    </xf>
    <xf numFmtId="0" fontId="4" fillId="3" borderId="30" xfId="0" applyFont="1" applyFill="1" applyBorder="1" applyAlignment="1" applyProtection="1">
      <alignment horizontal="left"/>
    </xf>
    <xf numFmtId="0" fontId="4" fillId="13" borderId="30" xfId="0" applyFont="1" applyFill="1" applyBorder="1" applyAlignment="1" applyProtection="1">
      <alignment horizontal="left"/>
    </xf>
    <xf numFmtId="166" fontId="10" fillId="9" borderId="14" xfId="0" applyNumberFormat="1" applyFont="1" applyFill="1" applyBorder="1" applyAlignment="1" applyProtection="1">
      <alignment horizontal="center"/>
    </xf>
    <xf numFmtId="166" fontId="10" fillId="9" borderId="15" xfId="0" applyNumberFormat="1" applyFont="1" applyFill="1" applyBorder="1" applyAlignment="1" applyProtection="1">
      <alignment horizontal="center"/>
    </xf>
    <xf numFmtId="166" fontId="10" fillId="9" borderId="40" xfId="0" applyNumberFormat="1" applyFont="1" applyFill="1" applyBorder="1" applyAlignment="1" applyProtection="1">
      <alignment horizontal="center"/>
    </xf>
    <xf numFmtId="166" fontId="10" fillId="9" borderId="42" xfId="0" applyNumberFormat="1" applyFont="1" applyFill="1" applyBorder="1" applyAlignment="1" applyProtection="1">
      <alignment horizontal="center"/>
    </xf>
    <xf numFmtId="166" fontId="4" fillId="0" borderId="14" xfId="0" applyNumberFormat="1" applyFont="1" applyBorder="1" applyAlignment="1" applyProtection="1">
      <alignment horizontal="center"/>
    </xf>
    <xf numFmtId="166" fontId="4" fillId="0" borderId="15" xfId="0" applyNumberFormat="1" applyFont="1" applyBorder="1" applyAlignment="1" applyProtection="1">
      <alignment horizontal="center"/>
    </xf>
    <xf numFmtId="166" fontId="0" fillId="0" borderId="2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6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2" fillId="0" borderId="42" xfId="0" applyNumberFormat="1" applyFont="1" applyFill="1" applyBorder="1" applyAlignment="1" applyProtection="1">
      <alignment horizontal="center" vertical="center"/>
    </xf>
    <xf numFmtId="166" fontId="12" fillId="0" borderId="44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49" fontId="0" fillId="14" borderId="31" xfId="0" applyNumberFormat="1" applyFill="1" applyBorder="1" applyAlignment="1">
      <alignment horizontal="left"/>
    </xf>
    <xf numFmtId="49" fontId="0" fillId="14" borderId="60" xfId="0" applyNumberFormat="1" applyFill="1" applyBorder="1" applyAlignment="1">
      <alignment horizontal="left"/>
    </xf>
    <xf numFmtId="49" fontId="0" fillId="14" borderId="48" xfId="0" applyNumberFormat="1" applyFill="1" applyBorder="1" applyAlignment="1">
      <alignment horizontal="left"/>
    </xf>
    <xf numFmtId="0" fontId="0" fillId="0" borderId="13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49" fontId="4" fillId="14" borderId="31" xfId="0" applyNumberFormat="1" applyFont="1" applyFill="1" applyBorder="1" applyAlignment="1" applyProtection="1">
      <alignment horizontal="left"/>
    </xf>
    <xf numFmtId="49" fontId="4" fillId="14" borderId="60" xfId="0" applyNumberFormat="1" applyFont="1" applyFill="1" applyBorder="1" applyAlignment="1" applyProtection="1">
      <alignment horizontal="left"/>
    </xf>
    <xf numFmtId="49" fontId="4" fillId="14" borderId="48" xfId="0" applyNumberFormat="1" applyFont="1" applyFill="1" applyBorder="1" applyAlignment="1" applyProtection="1">
      <alignment horizontal="left"/>
    </xf>
    <xf numFmtId="49" fontId="0" fillId="0" borderId="30" xfId="0" applyNumberFormat="1" applyBorder="1" applyAlignment="1">
      <alignment horizontal="left" indent="2"/>
    </xf>
    <xf numFmtId="49" fontId="0" fillId="0" borderId="30" xfId="0" applyNumberFormat="1" applyBorder="1" applyAlignment="1">
      <alignment horizontal="left"/>
    </xf>
    <xf numFmtId="164" fontId="4" fillId="2" borderId="0" xfId="0" applyNumberFormat="1" applyFont="1" applyFill="1" applyAlignment="1" applyProtection="1">
      <alignment horizontal="center"/>
      <protection locked="0"/>
    </xf>
    <xf numFmtId="0" fontId="0" fillId="0" borderId="31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2" borderId="31" xfId="0" applyFill="1" applyBorder="1" applyAlignment="1">
      <alignment horizontal="left"/>
    </xf>
    <xf numFmtId="0" fontId="0" fillId="2" borderId="60" xfId="0" applyFill="1" applyBorder="1" applyAlignment="1">
      <alignment horizontal="left"/>
    </xf>
    <xf numFmtId="0" fontId="0" fillId="2" borderId="48" xfId="0" applyFill="1" applyBorder="1" applyAlignment="1">
      <alignment horizontal="left"/>
    </xf>
    <xf numFmtId="0" fontId="4" fillId="3" borderId="30" xfId="0" applyFont="1" applyFill="1" applyBorder="1" applyAlignment="1">
      <alignment horizontal="left"/>
    </xf>
    <xf numFmtId="0" fontId="4" fillId="13" borderId="30" xfId="0" applyFont="1" applyFill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22" fillId="0" borderId="13" xfId="0" applyFont="1" applyBorder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0" fontId="5" fillId="14" borderId="0" xfId="0" applyFont="1" applyFill="1" applyAlignment="1" applyProtection="1">
      <alignment horizontal="left"/>
      <protection locked="0"/>
    </xf>
    <xf numFmtId="49" fontId="6" fillId="0" borderId="30" xfId="0" applyNumberFormat="1" applyFont="1" applyBorder="1" applyAlignment="1">
      <alignment horizontal="left" indent="2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49" fontId="6" fillId="0" borderId="30" xfId="0" applyNumberFormat="1" applyFont="1" applyBorder="1" applyAlignment="1">
      <alignment horizontal="left"/>
    </xf>
    <xf numFmtId="164" fontId="10" fillId="2" borderId="0" xfId="0" applyNumberFormat="1" applyFont="1" applyFill="1" applyAlignment="1" applyProtection="1">
      <alignment horizontal="center"/>
      <protection locked="0"/>
    </xf>
    <xf numFmtId="0" fontId="6" fillId="0" borderId="31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30" xfId="0" applyFont="1" applyBorder="1" applyAlignment="1">
      <alignment horizontal="center" wrapText="1"/>
    </xf>
    <xf numFmtId="0" fontId="6" fillId="0" borderId="30" xfId="0" applyFont="1" applyBorder="1" applyAlignment="1">
      <alignment horizontal="center"/>
    </xf>
    <xf numFmtId="0" fontId="10" fillId="3" borderId="30" xfId="0" applyFont="1" applyFill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10" fillId="13" borderId="30" xfId="0" applyFont="1" applyFill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64" fontId="0" fillId="0" borderId="36" xfId="0" applyNumberFormat="1" applyBorder="1" applyAlignment="1"/>
    <xf numFmtId="0" fontId="0" fillId="0" borderId="61" xfId="0" applyBorder="1" applyAlignment="1"/>
    <xf numFmtId="0" fontId="0" fillId="0" borderId="25" xfId="0" applyBorder="1" applyAlignment="1"/>
    <xf numFmtId="0" fontId="0" fillId="0" borderId="36" xfId="0" applyBorder="1" applyAlignment="1">
      <alignment wrapText="1"/>
    </xf>
    <xf numFmtId="0" fontId="0" fillId="0" borderId="61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31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4" fillId="2" borderId="31" xfId="0" applyFont="1" applyFill="1" applyBorder="1" applyAlignment="1">
      <alignment horizontal="left"/>
    </xf>
    <xf numFmtId="0" fontId="4" fillId="2" borderId="60" xfId="0" applyFont="1" applyFill="1" applyBorder="1" applyAlignment="1">
      <alignment horizontal="left"/>
    </xf>
    <xf numFmtId="0" fontId="4" fillId="2" borderId="48" xfId="0" applyFont="1" applyFill="1" applyBorder="1" applyAlignment="1">
      <alignment horizontal="left"/>
    </xf>
    <xf numFmtId="0" fontId="0" fillId="0" borderId="30" xfId="0" applyBorder="1" applyAlignment="1">
      <alignment horizontal="left"/>
    </xf>
  </cellXfs>
  <cellStyles count="3">
    <cellStyle name="Normální" xfId="0" builtinId="0"/>
    <cellStyle name="normální_Tabulka školy, návrh rozpočtu" xfId="2"/>
    <cellStyle name="Procenta" xfId="1" builtinId="5"/>
  </cellStyles>
  <dxfs count="46"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  <dxf>
      <font>
        <color theme="0"/>
      </font>
      <numFmt numFmtId="169" formatCode=";;;"/>
    </dxf>
    <dxf>
      <numFmt numFmtId="169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Rozbory\Rozbory%20n&#225;klad&#367;%20a%20v&#253;nos&#367;%20-%20hlavn&#237;%20&#269;innost%20-%20rok%202024%20-%201-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Rozbory\Rozbory%20n&#225;klad&#367;%20a%20v&#253;nos&#367;%20-%20hlavn&#237;%20&#269;innost%20-%20rok%202023%20-%201-%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Pl&#225;n%202025\NR%202025%20+%20SVR%202026-27%20-%20pracovn&#237;%20verze%20k%204.10.2024%20-%20sn&#237;&#382;en&#237;%20n&#225;klad&#367;%20proti%20prvn&#237;mu%20pl&#225;n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Rozbory%20hospoda&#345;en&#237;\Rozbor%20hospoda&#345;en&#237;%202025\Vyhodnocen&#237;%20hospoda&#345;en&#237;%20podle%20rozpo&#269;tu%20za%201.%20pololet&#237;%202025%20-%20TSM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yhodnocení hospodaření PO"/>
      <sheetName val="Vyhod. hosp. PO -střediska"/>
      <sheetName val="HČ - SKUT 2024"/>
      <sheetName val="101"/>
      <sheetName val="102"/>
      <sheetName val="103"/>
      <sheetName val="104"/>
      <sheetName val="105"/>
      <sheetName val="108"/>
      <sheetName val="200"/>
      <sheetName val="201"/>
      <sheetName val="202"/>
      <sheetName val="204"/>
      <sheetName val="205"/>
      <sheetName val="206"/>
      <sheetName val="208+209"/>
      <sheetName val="210"/>
      <sheetName val="211"/>
      <sheetName val="Rozbory"/>
      <sheetName val="List1"/>
      <sheetName val="HČ - SKUT 2016"/>
      <sheetName val="HČ - SKUT 2015"/>
      <sheetName val="HČ - SKUT 2014"/>
      <sheetName val="HČ - SKUT 2013"/>
      <sheetName val="HČ - SKUT 2012"/>
      <sheetName val="HČ - SKUT 2011"/>
      <sheetName val="Měsíční náklady"/>
      <sheetName val="pomocné 203+211"/>
      <sheetName val="Výnosy bez střediska"/>
      <sheetName val="10104"/>
      <sheetName val="203"/>
      <sheetName val="1090204"/>
      <sheetName val="1100206"/>
      <sheetName val="310210"/>
    </sheetNames>
    <sheetDataSet>
      <sheetData sheetId="0">
        <row r="15">
          <cell r="P15">
            <v>0</v>
          </cell>
          <cell r="R15">
            <v>25975740.789999999</v>
          </cell>
          <cell r="T15">
            <v>22511621.059999995</v>
          </cell>
        </row>
        <row r="16">
          <cell r="P16">
            <v>171816600</v>
          </cell>
          <cell r="Q16">
            <v>0</v>
          </cell>
          <cell r="R16">
            <v>0</v>
          </cell>
          <cell r="T16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T17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T18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T19">
            <v>0</v>
          </cell>
        </row>
        <row r="20">
          <cell r="P20">
            <v>0</v>
          </cell>
          <cell r="Q20">
            <v>0</v>
          </cell>
          <cell r="R20">
            <v>6198743.75</v>
          </cell>
          <cell r="T20">
            <v>0</v>
          </cell>
        </row>
        <row r="21">
          <cell r="P21">
            <v>0</v>
          </cell>
          <cell r="Q21">
            <v>0</v>
          </cell>
          <cell r="R21">
            <v>4283977.75</v>
          </cell>
          <cell r="T21">
            <v>46159.17</v>
          </cell>
        </row>
        <row r="22">
          <cell r="P22">
            <v>0</v>
          </cell>
          <cell r="Q22">
            <v>0</v>
          </cell>
          <cell r="R22">
            <v>0</v>
          </cell>
          <cell r="T22">
            <v>0</v>
          </cell>
        </row>
        <row r="23">
          <cell r="P23"/>
          <cell r="Q23">
            <v>0</v>
          </cell>
          <cell r="R23">
            <v>787672.18</v>
          </cell>
          <cell r="T23">
            <v>0</v>
          </cell>
        </row>
        <row r="28">
          <cell r="P28">
            <v>6058721.9676106442</v>
          </cell>
          <cell r="Q28">
            <v>0</v>
          </cell>
          <cell r="R28">
            <v>915975.47238935519</v>
          </cell>
          <cell r="T28">
            <v>27099.17</v>
          </cell>
        </row>
        <row r="29">
          <cell r="P29">
            <v>11822125.211633176</v>
          </cell>
          <cell r="Q29">
            <v>0</v>
          </cell>
          <cell r="R29">
            <v>1787303.7883668244</v>
          </cell>
          <cell r="T29">
            <v>2880365.6199999996</v>
          </cell>
        </row>
        <row r="30">
          <cell r="P30">
            <v>15944048.526924303</v>
          </cell>
          <cell r="Q30">
            <v>0</v>
          </cell>
          <cell r="R30">
            <v>2410468.3230756926</v>
          </cell>
          <cell r="T30">
            <v>181274.37</v>
          </cell>
        </row>
        <row r="31">
          <cell r="P31">
            <v>40642700.379515946</v>
          </cell>
          <cell r="Q31">
            <v>0</v>
          </cell>
          <cell r="R31">
            <v>6144483.4204840558</v>
          </cell>
          <cell r="T31">
            <v>5322253.42</v>
          </cell>
        </row>
        <row r="32">
          <cell r="P32">
            <v>59197945.514926136</v>
          </cell>
          <cell r="Q32">
            <v>0</v>
          </cell>
          <cell r="R32">
            <v>8949720.1550738662</v>
          </cell>
          <cell r="T32">
            <v>4122268.2199999997</v>
          </cell>
        </row>
        <row r="33">
          <cell r="P33">
            <v>58311619.845986672</v>
          </cell>
          <cell r="Q33">
            <v>0</v>
          </cell>
          <cell r="R33">
            <v>8815722.8240133356</v>
          </cell>
          <cell r="T33">
            <v>4122268.2199999997</v>
          </cell>
        </row>
        <row r="34">
          <cell r="P34">
            <v>886325.6689394681</v>
          </cell>
          <cell r="Q34">
            <v>0</v>
          </cell>
          <cell r="R34">
            <v>133997.33106053187</v>
          </cell>
          <cell r="T34">
            <v>0</v>
          </cell>
        </row>
        <row r="35">
          <cell r="P35">
            <v>20476746.14979174</v>
          </cell>
          <cell r="Q35">
            <v>0</v>
          </cell>
          <cell r="R35">
            <v>3095734.9302082616</v>
          </cell>
          <cell r="T35">
            <v>1523795.9100000001</v>
          </cell>
        </row>
        <row r="36">
          <cell r="P36">
            <v>33632.360462647011</v>
          </cell>
          <cell r="Q36">
            <v>0</v>
          </cell>
          <cell r="R36">
            <v>5084.6395373529876</v>
          </cell>
          <cell r="T36">
            <v>104251.17</v>
          </cell>
        </row>
        <row r="37">
          <cell r="P37">
            <v>17216993.029323842</v>
          </cell>
          <cell r="Q37">
            <v>0</v>
          </cell>
          <cell r="R37">
            <v>2602915.8306761575</v>
          </cell>
          <cell r="T37">
            <v>2194347.8200000003</v>
          </cell>
        </row>
        <row r="38">
          <cell r="P38">
            <v>12326341.399853583</v>
          </cell>
          <cell r="Q38">
            <v>0</v>
          </cell>
          <cell r="R38">
            <v>1863532.6801464031</v>
          </cell>
          <cell r="T38">
            <v>2950453.8699999996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yhodnocení hospodaření PO"/>
      <sheetName val="Vyhod. hosp. PO -střediska"/>
      <sheetName val="List1"/>
      <sheetName val="HČ - SKUT 2023"/>
      <sheetName val="101"/>
      <sheetName val="102"/>
      <sheetName val="103"/>
      <sheetName val="104"/>
      <sheetName val="105"/>
      <sheetName val="108"/>
      <sheetName val="200"/>
      <sheetName val="201"/>
      <sheetName val="202"/>
      <sheetName val="204"/>
      <sheetName val="205"/>
      <sheetName val="206"/>
      <sheetName val="208+209"/>
      <sheetName val="210"/>
      <sheetName val="211"/>
      <sheetName val="Rozbory"/>
      <sheetName val="HČ - SKUT 2016"/>
      <sheetName val="HČ - SKUT 2015"/>
      <sheetName val="HČ - SKUT 2014"/>
      <sheetName val="HČ - SKUT 2013"/>
      <sheetName val="HČ - SKUT 2012"/>
      <sheetName val="HČ - SKUT 2011"/>
      <sheetName val="Měsíční náklady"/>
      <sheetName val="pomocné 203+211"/>
      <sheetName val="Výnosy bez střediska"/>
      <sheetName val="10104"/>
      <sheetName val="203"/>
      <sheetName val="1090204"/>
      <sheetName val="1100206"/>
      <sheetName val="310210"/>
    </sheetNames>
    <sheetDataSet>
      <sheetData sheetId="0">
        <row r="15">
          <cell r="Q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5"/>
      <sheetName val="SVR 2026-2027"/>
      <sheetName val="NR 2025 - střediska"/>
    </sheetNames>
    <sheetDataSet>
      <sheetData sheetId="0">
        <row r="15">
          <cell r="V15">
            <v>0</v>
          </cell>
          <cell r="W15">
            <v>0</v>
          </cell>
          <cell r="X15">
            <v>23000000</v>
          </cell>
          <cell r="Z15">
            <v>22000000</v>
          </cell>
        </row>
        <row r="16">
          <cell r="V16">
            <v>182750000</v>
          </cell>
          <cell r="W16">
            <v>0</v>
          </cell>
          <cell r="X16">
            <v>0</v>
          </cell>
          <cell r="Z16">
            <v>0</v>
          </cell>
        </row>
        <row r="17">
          <cell r="V17">
            <v>0</v>
          </cell>
          <cell r="W17">
            <v>0</v>
          </cell>
          <cell r="X17">
            <v>0</v>
          </cell>
          <cell r="Z17">
            <v>0</v>
          </cell>
        </row>
        <row r="18">
          <cell r="V18">
            <v>0</v>
          </cell>
          <cell r="W18">
            <v>0</v>
          </cell>
          <cell r="X18">
            <v>0</v>
          </cell>
          <cell r="Z18">
            <v>0</v>
          </cell>
        </row>
        <row r="19">
          <cell r="V19">
            <v>0</v>
          </cell>
          <cell r="W19">
            <v>0</v>
          </cell>
          <cell r="X19">
            <v>0</v>
          </cell>
          <cell r="Z19">
            <v>0</v>
          </cell>
        </row>
        <row r="20">
          <cell r="V20">
            <v>0</v>
          </cell>
          <cell r="W20">
            <v>0</v>
          </cell>
          <cell r="X20">
            <v>0</v>
          </cell>
          <cell r="Z20">
            <v>0</v>
          </cell>
        </row>
        <row r="21">
          <cell r="V21">
            <v>0</v>
          </cell>
          <cell r="W21">
            <v>0</v>
          </cell>
          <cell r="X21">
            <v>3200000</v>
          </cell>
          <cell r="Z21">
            <v>0</v>
          </cell>
        </row>
        <row r="22">
          <cell r="V22">
            <v>0</v>
          </cell>
          <cell r="W22">
            <v>0</v>
          </cell>
          <cell r="X22">
            <v>0</v>
          </cell>
          <cell r="Z22">
            <v>0</v>
          </cell>
        </row>
        <row r="23">
          <cell r="V23">
            <v>0</v>
          </cell>
          <cell r="W23">
            <v>0</v>
          </cell>
          <cell r="X23">
            <v>0</v>
          </cell>
          <cell r="Z23">
            <v>0</v>
          </cell>
        </row>
        <row r="28">
          <cell r="V28">
            <v>6980000</v>
          </cell>
          <cell r="W28">
            <v>0</v>
          </cell>
          <cell r="X28">
            <v>1020000</v>
          </cell>
          <cell r="Z28">
            <v>130000</v>
          </cell>
        </row>
        <row r="29">
          <cell r="V29">
            <v>10692366</v>
          </cell>
          <cell r="W29">
            <v>0</v>
          </cell>
          <cell r="X29">
            <v>1430000</v>
          </cell>
          <cell r="Z29">
            <v>2300000</v>
          </cell>
        </row>
        <row r="30">
          <cell r="V30">
            <v>19011472</v>
          </cell>
          <cell r="W30">
            <v>0</v>
          </cell>
          <cell r="X30">
            <v>1700000</v>
          </cell>
          <cell r="Z30">
            <v>70000</v>
          </cell>
        </row>
        <row r="31">
          <cell r="V31">
            <v>36404789</v>
          </cell>
          <cell r="W31">
            <v>0</v>
          </cell>
          <cell r="X31">
            <v>5000000</v>
          </cell>
          <cell r="Z31">
            <v>4000000</v>
          </cell>
        </row>
        <row r="32">
          <cell r="V32">
            <v>67055348</v>
          </cell>
          <cell r="W32">
            <v>0</v>
          </cell>
          <cell r="X32">
            <v>8100000</v>
          </cell>
          <cell r="Z32">
            <v>3300000</v>
          </cell>
        </row>
        <row r="33">
          <cell r="V33">
            <v>66155348</v>
          </cell>
          <cell r="W33">
            <v>0</v>
          </cell>
          <cell r="X33">
            <v>7900000</v>
          </cell>
          <cell r="Z33">
            <v>3300000</v>
          </cell>
        </row>
        <row r="34">
          <cell r="V34">
            <v>900000</v>
          </cell>
          <cell r="W34">
            <v>0</v>
          </cell>
          <cell r="X34">
            <v>200000</v>
          </cell>
          <cell r="Z34">
            <v>0</v>
          </cell>
        </row>
        <row r="35">
          <cell r="V35">
            <v>22714618</v>
          </cell>
          <cell r="W35">
            <v>0</v>
          </cell>
          <cell r="X35">
            <v>2670000</v>
          </cell>
          <cell r="Z35">
            <v>1150000</v>
          </cell>
        </row>
        <row r="36">
          <cell r="V36">
            <v>60000</v>
          </cell>
          <cell r="W36">
            <v>0</v>
          </cell>
          <cell r="X36">
            <v>10000</v>
          </cell>
          <cell r="Z36">
            <v>250000</v>
          </cell>
        </row>
        <row r="37">
          <cell r="V37">
            <v>21828407</v>
          </cell>
          <cell r="W37">
            <v>0</v>
          </cell>
          <cell r="X37">
            <v>2250000</v>
          </cell>
          <cell r="Z37">
            <v>1000000</v>
          </cell>
        </row>
        <row r="38">
          <cell r="V38">
            <v>8440000</v>
          </cell>
          <cell r="W38">
            <v>0</v>
          </cell>
          <cell r="X38">
            <v>1100000</v>
          </cell>
          <cell r="Z38">
            <v>2283000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yhodnocení hosp. 1.pol. 2025"/>
    </sheetNames>
    <sheetDataSet>
      <sheetData sheetId="0">
        <row r="15">
          <cell r="D15">
            <v>0</v>
          </cell>
          <cell r="E15">
            <v>0</v>
          </cell>
          <cell r="F15">
            <v>23000000</v>
          </cell>
          <cell r="H15">
            <v>22000000</v>
          </cell>
          <cell r="P15">
            <v>0</v>
          </cell>
          <cell r="Q15">
            <v>0</v>
          </cell>
          <cell r="R15">
            <v>13783214.639999999</v>
          </cell>
          <cell r="T15">
            <v>11570406.26</v>
          </cell>
        </row>
        <row r="16">
          <cell r="D16">
            <v>182750000</v>
          </cell>
          <cell r="E16">
            <v>0</v>
          </cell>
          <cell r="F16">
            <v>0</v>
          </cell>
          <cell r="H16">
            <v>0</v>
          </cell>
          <cell r="P16">
            <v>91375000</v>
          </cell>
          <cell r="Q16">
            <v>0</v>
          </cell>
          <cell r="R16">
            <v>0</v>
          </cell>
          <cell r="T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H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H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H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P20">
            <v>0</v>
          </cell>
          <cell r="Q20">
            <v>0</v>
          </cell>
          <cell r="R20">
            <v>0</v>
          </cell>
          <cell r="T20">
            <v>0</v>
          </cell>
        </row>
        <row r="21">
          <cell r="D21">
            <v>0</v>
          </cell>
          <cell r="E21">
            <v>0</v>
          </cell>
          <cell r="F21">
            <v>3200000</v>
          </cell>
          <cell r="H21">
            <v>0</v>
          </cell>
          <cell r="P21">
            <v>0</v>
          </cell>
          <cell r="Q21">
            <v>0</v>
          </cell>
          <cell r="R21">
            <v>844227.87</v>
          </cell>
          <cell r="T21">
            <v>7242.71</v>
          </cell>
        </row>
        <row r="22">
          <cell r="D22">
            <v>0</v>
          </cell>
          <cell r="E22">
            <v>0</v>
          </cell>
          <cell r="F22">
            <v>0</v>
          </cell>
          <cell r="H22">
            <v>0</v>
          </cell>
          <cell r="P22">
            <v>0</v>
          </cell>
          <cell r="Q22">
            <v>0</v>
          </cell>
          <cell r="R22">
            <v>0</v>
          </cell>
          <cell r="T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H23">
            <v>0</v>
          </cell>
          <cell r="P23"/>
          <cell r="Q23">
            <v>0</v>
          </cell>
          <cell r="R23">
            <v>0</v>
          </cell>
          <cell r="T23">
            <v>0</v>
          </cell>
        </row>
        <row r="28">
          <cell r="D28">
            <v>6980000</v>
          </cell>
          <cell r="E28">
            <v>0</v>
          </cell>
          <cell r="F28">
            <v>1020000</v>
          </cell>
          <cell r="H28">
            <v>130000</v>
          </cell>
          <cell r="P28">
            <v>2945754.6241082703</v>
          </cell>
          <cell r="Q28">
            <v>0</v>
          </cell>
          <cell r="R28">
            <v>444344.38589172973</v>
          </cell>
          <cell r="T28">
            <v>20905.59</v>
          </cell>
        </row>
        <row r="29">
          <cell r="D29">
            <v>10692366</v>
          </cell>
          <cell r="E29">
            <v>0</v>
          </cell>
          <cell r="F29">
            <v>1430000</v>
          </cell>
          <cell r="H29">
            <v>2300000</v>
          </cell>
          <cell r="P29">
            <v>5197120.7347159078</v>
          </cell>
          <cell r="Q29">
            <v>0</v>
          </cell>
          <cell r="R29">
            <v>783945.61528409156</v>
          </cell>
          <cell r="T29">
            <v>1365379.65</v>
          </cell>
        </row>
        <row r="30">
          <cell r="D30">
            <v>19011472</v>
          </cell>
          <cell r="E30">
            <v>0</v>
          </cell>
          <cell r="F30">
            <v>1700000</v>
          </cell>
          <cell r="H30">
            <v>70000</v>
          </cell>
          <cell r="P30">
            <v>6094286.693188386</v>
          </cell>
          <cell r="Q30">
            <v>0</v>
          </cell>
          <cell r="R30">
            <v>919276.18681161525</v>
          </cell>
          <cell r="T30">
            <v>54076.520000000004</v>
          </cell>
        </row>
        <row r="31">
          <cell r="D31">
            <v>36404789</v>
          </cell>
          <cell r="E31">
            <v>0</v>
          </cell>
          <cell r="F31">
            <v>5000000</v>
          </cell>
          <cell r="H31">
            <v>4000000</v>
          </cell>
          <cell r="P31">
            <v>19264556.655728135</v>
          </cell>
          <cell r="Q31">
            <v>0</v>
          </cell>
          <cell r="R31">
            <v>2905909.924271863</v>
          </cell>
          <cell r="T31">
            <v>2595569.3200000003</v>
          </cell>
        </row>
        <row r="32">
          <cell r="E32">
            <v>0</v>
          </cell>
          <cell r="F32">
            <v>8100000</v>
          </cell>
          <cell r="H32">
            <v>3300000</v>
          </cell>
          <cell r="P32">
            <v>29217285.484788068</v>
          </cell>
          <cell r="Q32">
            <v>0</v>
          </cell>
          <cell r="R32">
            <v>4407202.3752119327</v>
          </cell>
          <cell r="T32">
            <v>2033368.14</v>
          </cell>
        </row>
        <row r="33">
          <cell r="D33">
            <v>66155348</v>
          </cell>
          <cell r="E33">
            <v>0</v>
          </cell>
          <cell r="F33">
            <v>7900000</v>
          </cell>
          <cell r="H33">
            <v>3300000</v>
          </cell>
          <cell r="P33">
            <v>28627356.696653213</v>
          </cell>
          <cell r="Q33">
            <v>0</v>
          </cell>
          <cell r="R33">
            <v>4318216.1633467861</v>
          </cell>
          <cell r="T33">
            <v>2033368.14</v>
          </cell>
        </row>
        <row r="34">
          <cell r="D34">
            <v>900000</v>
          </cell>
          <cell r="E34">
            <v>0</v>
          </cell>
          <cell r="F34">
            <v>200000</v>
          </cell>
          <cell r="H34">
            <v>0</v>
          </cell>
          <cell r="P34">
            <v>589928.78813485347</v>
          </cell>
          <cell r="Q34">
            <v>0</v>
          </cell>
          <cell r="R34">
            <v>88986.211865146586</v>
          </cell>
          <cell r="T34">
            <v>0</v>
          </cell>
        </row>
        <row r="35">
          <cell r="D35">
            <v>22714618</v>
          </cell>
          <cell r="E35">
            <v>0</v>
          </cell>
          <cell r="F35">
            <v>2670000</v>
          </cell>
          <cell r="H35">
            <v>1150000</v>
          </cell>
          <cell r="P35">
            <v>10051311.007142637</v>
          </cell>
          <cell r="Q35">
            <v>0</v>
          </cell>
          <cell r="R35">
            <v>1516162.8128573629</v>
          </cell>
          <cell r="T35">
            <v>749659.65</v>
          </cell>
        </row>
        <row r="36">
          <cell r="D36">
            <v>60000</v>
          </cell>
          <cell r="E36">
            <v>0</v>
          </cell>
          <cell r="F36">
            <v>10000</v>
          </cell>
          <cell r="H36">
            <v>250000</v>
          </cell>
          <cell r="P36">
            <v>27892.648853362083</v>
          </cell>
          <cell r="Q36">
            <v>0</v>
          </cell>
          <cell r="R36">
            <v>4207.391146637915</v>
          </cell>
          <cell r="T36">
            <v>4938.05</v>
          </cell>
        </row>
        <row r="37">
          <cell r="D37">
            <v>21828407</v>
          </cell>
          <cell r="E37">
            <v>0</v>
          </cell>
          <cell r="F37">
            <v>2250000</v>
          </cell>
          <cell r="H37">
            <v>1000000</v>
          </cell>
          <cell r="P37">
            <v>9121721.9528338313</v>
          </cell>
          <cell r="Q37">
            <v>0</v>
          </cell>
          <cell r="R37">
            <v>1375941.4671661686</v>
          </cell>
          <cell r="T37">
            <v>1031025.5800000001</v>
          </cell>
        </row>
        <row r="38">
          <cell r="D38">
            <v>8440000</v>
          </cell>
          <cell r="E38">
            <v>0</v>
          </cell>
          <cell r="F38">
            <v>1100000</v>
          </cell>
          <cell r="H38">
            <v>2283000</v>
          </cell>
          <cell r="P38">
            <v>12179540.71521789</v>
          </cell>
          <cell r="Q38">
            <v>0</v>
          </cell>
          <cell r="R38">
            <v>1837189.864782132</v>
          </cell>
          <cell r="T38">
            <v>1205902.5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FF0000"/>
    <pageSetUpPr fitToPage="1"/>
  </sheetPr>
  <dimension ref="A1:AD276"/>
  <sheetViews>
    <sheetView showGridLines="0" tabSelected="1" topLeftCell="A13" zoomScale="80" zoomScaleNormal="80" zoomScaleSheetLayoutView="80" workbookViewId="0">
      <selection activeCell="G80" sqref="G8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customWidth="1"/>
    <col min="6" max="6" width="16.85546875" customWidth="1"/>
    <col min="7" max="7" width="21.28515625" customWidth="1"/>
    <col min="8" max="8" width="14.140625" customWidth="1"/>
    <col min="9" max="9" width="11.28515625" customWidth="1"/>
    <col min="10" max="10" width="16.140625" customWidth="1"/>
    <col min="11" max="11" width="17.85546875" customWidth="1"/>
    <col min="12" max="12" width="13.7109375" customWidth="1"/>
    <col min="13" max="13" width="23.42578125" style="17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24" t="s">
        <v>2</v>
      </c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  <c r="V4" s="624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6" t="s">
        <v>4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7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5</v>
      </c>
      <c r="C8" s="1"/>
      <c r="D8" s="625" t="s">
        <v>6</v>
      </c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5"/>
      <c r="U8" s="625"/>
      <c r="V8" s="625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626" t="s">
        <v>7</v>
      </c>
      <c r="C10" s="592" t="s">
        <v>8</v>
      </c>
      <c r="D10" s="631" t="s">
        <v>9</v>
      </c>
      <c r="E10" s="632"/>
      <c r="F10" s="632"/>
      <c r="G10" s="632"/>
      <c r="H10" s="632"/>
      <c r="I10" s="633"/>
      <c r="J10" s="631" t="s">
        <v>10</v>
      </c>
      <c r="K10" s="632"/>
      <c r="L10" s="632"/>
      <c r="M10" s="632"/>
      <c r="N10" s="632"/>
      <c r="O10" s="633"/>
      <c r="P10" s="631" t="s">
        <v>11</v>
      </c>
      <c r="Q10" s="632"/>
      <c r="R10" s="632"/>
      <c r="S10" s="632"/>
      <c r="T10" s="632"/>
      <c r="U10" s="633"/>
      <c r="V10" s="631" t="s">
        <v>12</v>
      </c>
      <c r="W10" s="632"/>
      <c r="X10" s="632"/>
      <c r="Y10" s="632"/>
      <c r="Z10" s="632"/>
      <c r="AA10" s="633"/>
      <c r="AB10" s="615" t="s">
        <v>13</v>
      </c>
      <c r="AC10" s="3"/>
      <c r="AD10" s="3"/>
    </row>
    <row r="11" spans="1:30" ht="30.75" customHeight="1" thickBot="1" x14ac:dyDescent="0.3">
      <c r="A11" s="1"/>
      <c r="B11" s="627"/>
      <c r="C11" s="593"/>
      <c r="D11" s="618" t="s">
        <v>14</v>
      </c>
      <c r="E11" s="619"/>
      <c r="F11" s="619"/>
      <c r="G11" s="620"/>
      <c r="H11" s="8" t="s">
        <v>15</v>
      </c>
      <c r="I11" s="8" t="s">
        <v>16</v>
      </c>
      <c r="J11" s="618" t="s">
        <v>14</v>
      </c>
      <c r="K11" s="619"/>
      <c r="L11" s="619"/>
      <c r="M11" s="620"/>
      <c r="N11" s="8" t="s">
        <v>15</v>
      </c>
      <c r="O11" s="8" t="s">
        <v>16</v>
      </c>
      <c r="P11" s="618" t="s">
        <v>14</v>
      </c>
      <c r="Q11" s="619"/>
      <c r="R11" s="619"/>
      <c r="S11" s="620"/>
      <c r="T11" s="8" t="s">
        <v>15</v>
      </c>
      <c r="U11" s="8" t="s">
        <v>16</v>
      </c>
      <c r="V11" s="618" t="s">
        <v>14</v>
      </c>
      <c r="W11" s="619"/>
      <c r="X11" s="619"/>
      <c r="Y11" s="620"/>
      <c r="Z11" s="8" t="s">
        <v>15</v>
      </c>
      <c r="AA11" s="8" t="s">
        <v>16</v>
      </c>
      <c r="AB11" s="616"/>
      <c r="AC11" s="3"/>
      <c r="AD11" s="3"/>
    </row>
    <row r="12" spans="1:30" ht="15.75" customHeight="1" thickBot="1" x14ac:dyDescent="0.3">
      <c r="A12" s="1"/>
      <c r="B12" s="627"/>
      <c r="C12" s="629"/>
      <c r="D12" s="621" t="s">
        <v>17</v>
      </c>
      <c r="E12" s="622"/>
      <c r="F12" s="622"/>
      <c r="G12" s="622"/>
      <c r="H12" s="622"/>
      <c r="I12" s="623"/>
      <c r="J12" s="621" t="s">
        <v>17</v>
      </c>
      <c r="K12" s="622"/>
      <c r="L12" s="622"/>
      <c r="M12" s="622"/>
      <c r="N12" s="622"/>
      <c r="O12" s="623"/>
      <c r="P12" s="621" t="s">
        <v>17</v>
      </c>
      <c r="Q12" s="622"/>
      <c r="R12" s="622"/>
      <c r="S12" s="622"/>
      <c r="T12" s="622"/>
      <c r="U12" s="623"/>
      <c r="V12" s="621" t="s">
        <v>17</v>
      </c>
      <c r="W12" s="622"/>
      <c r="X12" s="622"/>
      <c r="Y12" s="622"/>
      <c r="Z12" s="622"/>
      <c r="AA12" s="623"/>
      <c r="AB12" s="616"/>
      <c r="AC12" s="3"/>
      <c r="AD12" s="3"/>
    </row>
    <row r="13" spans="1:30" ht="15.75" customHeight="1" thickBot="1" x14ac:dyDescent="0.3">
      <c r="A13" s="1"/>
      <c r="B13" s="628"/>
      <c r="C13" s="630"/>
      <c r="D13" s="613" t="s">
        <v>18</v>
      </c>
      <c r="E13" s="614"/>
      <c r="F13" s="614"/>
      <c r="G13" s="609" t="s">
        <v>19</v>
      </c>
      <c r="H13" s="611" t="s">
        <v>20</v>
      </c>
      <c r="I13" s="594" t="s">
        <v>17</v>
      </c>
      <c r="J13" s="613" t="s">
        <v>18</v>
      </c>
      <c r="K13" s="614"/>
      <c r="L13" s="614"/>
      <c r="M13" s="609" t="s">
        <v>19</v>
      </c>
      <c r="N13" s="611" t="s">
        <v>20</v>
      </c>
      <c r="O13" s="594" t="s">
        <v>17</v>
      </c>
      <c r="P13" s="613" t="s">
        <v>18</v>
      </c>
      <c r="Q13" s="614"/>
      <c r="R13" s="614"/>
      <c r="S13" s="609" t="s">
        <v>19</v>
      </c>
      <c r="T13" s="611" t="s">
        <v>20</v>
      </c>
      <c r="U13" s="594" t="s">
        <v>17</v>
      </c>
      <c r="V13" s="613" t="s">
        <v>18</v>
      </c>
      <c r="W13" s="614"/>
      <c r="X13" s="614"/>
      <c r="Y13" s="609" t="s">
        <v>19</v>
      </c>
      <c r="Z13" s="611" t="s">
        <v>20</v>
      </c>
      <c r="AA13" s="594" t="s">
        <v>17</v>
      </c>
      <c r="AB13" s="616"/>
      <c r="AC13" s="3"/>
      <c r="AD13" s="3"/>
    </row>
    <row r="14" spans="1:30" ht="15.75" thickBot="1" x14ac:dyDescent="0.3">
      <c r="A14" s="1"/>
      <c r="B14" s="9"/>
      <c r="C14" s="10"/>
      <c r="D14" s="11" t="s">
        <v>21</v>
      </c>
      <c r="E14" s="12" t="s">
        <v>22</v>
      </c>
      <c r="F14" s="12" t="s">
        <v>23</v>
      </c>
      <c r="G14" s="610"/>
      <c r="H14" s="612"/>
      <c r="I14" s="595"/>
      <c r="J14" s="11" t="s">
        <v>21</v>
      </c>
      <c r="K14" s="12" t="s">
        <v>22</v>
      </c>
      <c r="L14" s="12" t="s">
        <v>23</v>
      </c>
      <c r="M14" s="610"/>
      <c r="N14" s="612"/>
      <c r="O14" s="595"/>
      <c r="P14" s="11" t="s">
        <v>21</v>
      </c>
      <c r="Q14" s="12" t="s">
        <v>22</v>
      </c>
      <c r="R14" s="12" t="s">
        <v>23</v>
      </c>
      <c r="S14" s="610"/>
      <c r="T14" s="612"/>
      <c r="U14" s="595"/>
      <c r="V14" s="11" t="s">
        <v>21</v>
      </c>
      <c r="W14" s="12" t="s">
        <v>22</v>
      </c>
      <c r="X14" s="12" t="s">
        <v>23</v>
      </c>
      <c r="Y14" s="610"/>
      <c r="Z14" s="612"/>
      <c r="AA14" s="595"/>
      <c r="AB14" s="617"/>
      <c r="AC14" s="3"/>
      <c r="AD14" s="3"/>
    </row>
    <row r="15" spans="1:30" x14ac:dyDescent="0.25">
      <c r="A15" s="1"/>
      <c r="B15" s="13" t="s">
        <v>24</v>
      </c>
      <c r="C15" s="14" t="s">
        <v>25</v>
      </c>
      <c r="D15" s="15"/>
      <c r="E15" s="16"/>
      <c r="F15" s="17">
        <v>3310.36</v>
      </c>
      <c r="G15" s="18">
        <f>SUM(D15:F15)</f>
        <v>3310.36</v>
      </c>
      <c r="H15" s="19"/>
      <c r="I15" s="20">
        <f>G15+H15</f>
        <v>3310.36</v>
      </c>
      <c r="J15" s="15"/>
      <c r="K15" s="16"/>
      <c r="L15" s="17">
        <v>3089</v>
      </c>
      <c r="M15" s="18">
        <f t="shared" ref="M15:M23" si="0">SUM(J15:L15)</f>
        <v>3089</v>
      </c>
      <c r="N15" s="19"/>
      <c r="O15" s="20">
        <f>M15+N15</f>
        <v>3089</v>
      </c>
      <c r="P15" s="15"/>
      <c r="Q15" s="16"/>
      <c r="R15" s="17">
        <v>1740.8</v>
      </c>
      <c r="S15" s="18">
        <f>SUM(P15:R15)</f>
        <v>1740.8</v>
      </c>
      <c r="T15" s="19"/>
      <c r="U15" s="20">
        <f>S15+T15</f>
        <v>1740.8</v>
      </c>
      <c r="V15" s="15"/>
      <c r="W15" s="16"/>
      <c r="X15" s="17">
        <v>3169</v>
      </c>
      <c r="Y15" s="18">
        <f>SUM(V15:X15)</f>
        <v>3169</v>
      </c>
      <c r="Z15" s="19"/>
      <c r="AA15" s="20">
        <f>Y15+Z15</f>
        <v>3169</v>
      </c>
      <c r="AB15" s="21">
        <f>(AA15/O15)</f>
        <v>1.0258983489802525</v>
      </c>
      <c r="AC15" s="3"/>
      <c r="AD15" s="3"/>
    </row>
    <row r="16" spans="1:30" x14ac:dyDescent="0.25">
      <c r="A16" s="1"/>
      <c r="B16" s="22" t="s">
        <v>26</v>
      </c>
      <c r="C16" s="23" t="s">
        <v>27</v>
      </c>
      <c r="D16" s="24">
        <v>29553</v>
      </c>
      <c r="E16" s="25"/>
      <c r="F16" s="25"/>
      <c r="G16" s="26">
        <f t="shared" ref="G16:G23" si="1">SUM(D16:F16)</f>
        <v>29553</v>
      </c>
      <c r="H16" s="27"/>
      <c r="I16" s="20">
        <f t="shared" ref="I16:I23" si="2">G16+H16</f>
        <v>29553</v>
      </c>
      <c r="J16" s="24">
        <v>28296</v>
      </c>
      <c r="K16" s="25"/>
      <c r="L16" s="25"/>
      <c r="M16" s="26">
        <f t="shared" si="0"/>
        <v>28296</v>
      </c>
      <c r="N16" s="27"/>
      <c r="O16" s="20">
        <f t="shared" ref="O16:O20" si="3">M16+N16</f>
        <v>28296</v>
      </c>
      <c r="P16" s="24">
        <v>14048</v>
      </c>
      <c r="Q16" s="25"/>
      <c r="R16" s="25"/>
      <c r="S16" s="26">
        <f t="shared" ref="S16:S23" si="4">SUM(P16:R16)</f>
        <v>14048</v>
      </c>
      <c r="T16" s="27"/>
      <c r="U16" s="20">
        <f t="shared" ref="U16:U20" si="5">S16+T16</f>
        <v>14048</v>
      </c>
      <c r="V16" s="24">
        <v>29850</v>
      </c>
      <c r="W16" s="25"/>
      <c r="X16" s="25"/>
      <c r="Y16" s="26">
        <f t="shared" ref="Y16:Y23" si="6">SUM(V16:X16)</f>
        <v>29850</v>
      </c>
      <c r="Z16" s="27"/>
      <c r="AA16" s="20">
        <f t="shared" ref="AA16:AA20" si="7">Y16+Z16</f>
        <v>29850</v>
      </c>
      <c r="AB16" s="21">
        <f t="shared" ref="AB16:AB24" si="8">(AA16/O16)</f>
        <v>1.0549194232400338</v>
      </c>
      <c r="AC16" s="3"/>
      <c r="AD16" s="3"/>
    </row>
    <row r="17" spans="1:30" x14ac:dyDescent="0.25">
      <c r="A17" s="1"/>
      <c r="B17" s="22" t="s">
        <v>28</v>
      </c>
      <c r="C17" s="28" t="s">
        <v>29</v>
      </c>
      <c r="D17" s="29"/>
      <c r="E17" s="30"/>
      <c r="F17" s="30"/>
      <c r="G17" s="26">
        <f t="shared" si="1"/>
        <v>0</v>
      </c>
      <c r="H17" s="31"/>
      <c r="I17" s="20">
        <f t="shared" si="2"/>
        <v>0</v>
      </c>
      <c r="J17" s="29"/>
      <c r="K17" s="30"/>
      <c r="L17" s="30"/>
      <c r="M17" s="26">
        <f t="shared" si="0"/>
        <v>0</v>
      </c>
      <c r="N17" s="31"/>
      <c r="O17" s="20">
        <f t="shared" si="3"/>
        <v>0</v>
      </c>
      <c r="P17" s="29"/>
      <c r="Q17" s="30"/>
      <c r="R17" s="30"/>
      <c r="S17" s="26">
        <f t="shared" si="4"/>
        <v>0</v>
      </c>
      <c r="T17" s="31"/>
      <c r="U17" s="20">
        <f t="shared" si="5"/>
        <v>0</v>
      </c>
      <c r="V17" s="29"/>
      <c r="W17" s="30"/>
      <c r="X17" s="30"/>
      <c r="Y17" s="26">
        <f t="shared" si="6"/>
        <v>0</v>
      </c>
      <c r="Z17" s="31"/>
      <c r="AA17" s="20">
        <f t="shared" si="7"/>
        <v>0</v>
      </c>
      <c r="AB17" s="21" t="e">
        <f t="shared" si="8"/>
        <v>#DIV/0!</v>
      </c>
      <c r="AC17" s="3"/>
      <c r="AD17" s="3"/>
    </row>
    <row r="18" spans="1:30" x14ac:dyDescent="0.25">
      <c r="A18" s="1"/>
      <c r="B18" s="22" t="s">
        <v>30</v>
      </c>
      <c r="C18" s="32" t="s">
        <v>31</v>
      </c>
      <c r="D18" s="33"/>
      <c r="E18" s="34">
        <f>1997+13.8</f>
        <v>2010.8</v>
      </c>
      <c r="F18" s="30"/>
      <c r="G18" s="26">
        <f t="shared" si="1"/>
        <v>2010.8</v>
      </c>
      <c r="H18" s="19"/>
      <c r="I18" s="20">
        <f t="shared" si="2"/>
        <v>2010.8</v>
      </c>
      <c r="J18" s="33"/>
      <c r="K18" s="34">
        <v>1497</v>
      </c>
      <c r="L18" s="30"/>
      <c r="M18" s="26">
        <f t="shared" si="0"/>
        <v>1497</v>
      </c>
      <c r="N18" s="19"/>
      <c r="O18" s="20">
        <f t="shared" si="3"/>
        <v>1497</v>
      </c>
      <c r="P18" s="33"/>
      <c r="Q18" s="34">
        <f>1997+200+17.6</f>
        <v>2214.6</v>
      </c>
      <c r="R18" s="30"/>
      <c r="S18" s="26">
        <f t="shared" si="4"/>
        <v>2214.6</v>
      </c>
      <c r="T18" s="19"/>
      <c r="U18" s="20">
        <f t="shared" si="5"/>
        <v>2214.6</v>
      </c>
      <c r="V18" s="33"/>
      <c r="W18" s="34">
        <v>1997</v>
      </c>
      <c r="X18" s="30"/>
      <c r="Y18" s="26">
        <f t="shared" si="6"/>
        <v>1997</v>
      </c>
      <c r="Z18" s="19"/>
      <c r="AA18" s="20">
        <f t="shared" si="7"/>
        <v>1997</v>
      </c>
      <c r="AB18" s="21">
        <f t="shared" si="8"/>
        <v>1.334001336005344</v>
      </c>
      <c r="AC18" s="3"/>
      <c r="AD18" s="3"/>
    </row>
    <row r="19" spans="1:30" x14ac:dyDescent="0.25">
      <c r="A19" s="1"/>
      <c r="B19" s="22" t="s">
        <v>32</v>
      </c>
      <c r="C19" s="35" t="s">
        <v>33</v>
      </c>
      <c r="D19" s="36">
        <v>45.8</v>
      </c>
      <c r="E19" s="30"/>
      <c r="F19" s="37"/>
      <c r="G19" s="26">
        <f t="shared" si="1"/>
        <v>45.8</v>
      </c>
      <c r="H19" s="38"/>
      <c r="I19" s="20">
        <f t="shared" si="2"/>
        <v>45.8</v>
      </c>
      <c r="J19" s="36">
        <v>46</v>
      </c>
      <c r="K19" s="30"/>
      <c r="L19" s="37"/>
      <c r="M19" s="26">
        <f t="shared" si="0"/>
        <v>46</v>
      </c>
      <c r="N19" s="38"/>
      <c r="O19" s="20">
        <f t="shared" si="3"/>
        <v>46</v>
      </c>
      <c r="P19" s="36">
        <v>22.7</v>
      </c>
      <c r="Q19" s="30"/>
      <c r="R19" s="37"/>
      <c r="S19" s="26">
        <f t="shared" si="4"/>
        <v>22.7</v>
      </c>
      <c r="T19" s="38"/>
      <c r="U19" s="20">
        <f t="shared" si="5"/>
        <v>22.7</v>
      </c>
      <c r="V19" s="36">
        <v>46</v>
      </c>
      <c r="W19" s="30"/>
      <c r="X19" s="37"/>
      <c r="Y19" s="26">
        <f t="shared" si="6"/>
        <v>46</v>
      </c>
      <c r="Z19" s="38"/>
      <c r="AA19" s="20">
        <f t="shared" si="7"/>
        <v>46</v>
      </c>
      <c r="AB19" s="21">
        <f t="shared" si="8"/>
        <v>1</v>
      </c>
      <c r="AC19" s="3"/>
      <c r="AD19" s="3"/>
    </row>
    <row r="20" spans="1:30" x14ac:dyDescent="0.25">
      <c r="A20" s="1"/>
      <c r="B20" s="22" t="s">
        <v>34</v>
      </c>
      <c r="C20" s="39" t="s">
        <v>35</v>
      </c>
      <c r="D20" s="33"/>
      <c r="E20" s="25"/>
      <c r="F20" s="40">
        <v>250</v>
      </c>
      <c r="G20" s="26">
        <f t="shared" si="1"/>
        <v>250</v>
      </c>
      <c r="H20" s="38"/>
      <c r="I20" s="20">
        <f t="shared" si="2"/>
        <v>250</v>
      </c>
      <c r="J20" s="33"/>
      <c r="K20" s="25"/>
      <c r="L20" s="40">
        <v>300</v>
      </c>
      <c r="M20" s="26">
        <f t="shared" si="0"/>
        <v>300</v>
      </c>
      <c r="N20" s="38"/>
      <c r="O20" s="20">
        <f t="shared" si="3"/>
        <v>300</v>
      </c>
      <c r="P20" s="33"/>
      <c r="Q20" s="25"/>
      <c r="R20" s="40"/>
      <c r="S20" s="26">
        <f t="shared" si="4"/>
        <v>0</v>
      </c>
      <c r="T20" s="38"/>
      <c r="U20" s="20">
        <f t="shared" si="5"/>
        <v>0</v>
      </c>
      <c r="V20" s="33"/>
      <c r="W20" s="25"/>
      <c r="X20" s="40">
        <v>200</v>
      </c>
      <c r="Y20" s="26">
        <f t="shared" si="6"/>
        <v>200</v>
      </c>
      <c r="Z20" s="38"/>
      <c r="AA20" s="20">
        <f t="shared" si="7"/>
        <v>200</v>
      </c>
      <c r="AB20" s="21">
        <f t="shared" si="8"/>
        <v>0.66666666666666663</v>
      </c>
      <c r="AC20" s="3"/>
      <c r="AD20" s="3"/>
    </row>
    <row r="21" spans="1:30" x14ac:dyDescent="0.25">
      <c r="A21" s="1"/>
      <c r="B21" s="22" t="s">
        <v>36</v>
      </c>
      <c r="C21" s="41" t="s">
        <v>37</v>
      </c>
      <c r="D21" s="33"/>
      <c r="E21" s="25"/>
      <c r="F21" s="40">
        <v>853.7</v>
      </c>
      <c r="G21" s="26">
        <f t="shared" si="1"/>
        <v>853.7</v>
      </c>
      <c r="H21" s="42"/>
      <c r="I21" s="20">
        <f>G21+H21</f>
        <v>853.7</v>
      </c>
      <c r="J21" s="33"/>
      <c r="K21" s="25"/>
      <c r="L21" s="40">
        <v>465</v>
      </c>
      <c r="M21" s="26">
        <f t="shared" si="0"/>
        <v>465</v>
      </c>
      <c r="N21" s="42"/>
      <c r="O21" s="20">
        <f>M21+N21</f>
        <v>465</v>
      </c>
      <c r="P21" s="33"/>
      <c r="Q21" s="25"/>
      <c r="R21" s="40">
        <v>383.9</v>
      </c>
      <c r="S21" s="26">
        <f t="shared" si="4"/>
        <v>383.9</v>
      </c>
      <c r="T21" s="42"/>
      <c r="U21" s="20">
        <f>S21+T21</f>
        <v>383.9</v>
      </c>
      <c r="V21" s="33"/>
      <c r="W21" s="25"/>
      <c r="X21" s="40">
        <v>400</v>
      </c>
      <c r="Y21" s="26">
        <f t="shared" si="6"/>
        <v>400</v>
      </c>
      <c r="Z21" s="42"/>
      <c r="AA21" s="20">
        <f>Y21+Z21</f>
        <v>400</v>
      </c>
      <c r="AB21" s="21">
        <f t="shared" si="8"/>
        <v>0.86021505376344087</v>
      </c>
      <c r="AC21" s="3"/>
      <c r="AD21" s="3"/>
    </row>
    <row r="22" spans="1:30" x14ac:dyDescent="0.25">
      <c r="A22" s="1"/>
      <c r="B22" s="22" t="s">
        <v>38</v>
      </c>
      <c r="C22" s="41" t="s">
        <v>39</v>
      </c>
      <c r="D22" s="33"/>
      <c r="E22" s="25"/>
      <c r="F22" s="40">
        <v>647</v>
      </c>
      <c r="G22" s="26">
        <f t="shared" si="1"/>
        <v>647</v>
      </c>
      <c r="H22" s="42"/>
      <c r="I22" s="20">
        <f t="shared" si="2"/>
        <v>647</v>
      </c>
      <c r="J22" s="33"/>
      <c r="K22" s="25"/>
      <c r="L22" s="40">
        <v>590</v>
      </c>
      <c r="M22" s="26">
        <f t="shared" si="0"/>
        <v>590</v>
      </c>
      <c r="N22" s="42"/>
      <c r="O22" s="20">
        <f t="shared" ref="O22:O23" si="9">M22+N22</f>
        <v>590</v>
      </c>
      <c r="P22" s="33"/>
      <c r="Q22" s="25"/>
      <c r="R22" s="40">
        <v>315.5</v>
      </c>
      <c r="S22" s="26">
        <f t="shared" si="4"/>
        <v>315.5</v>
      </c>
      <c r="T22" s="42"/>
      <c r="U22" s="20">
        <f t="shared" ref="U22:U23" si="10">S22+T22</f>
        <v>315.5</v>
      </c>
      <c r="V22" s="33"/>
      <c r="W22" s="25"/>
      <c r="X22" s="40">
        <v>620</v>
      </c>
      <c r="Y22" s="26">
        <f t="shared" si="6"/>
        <v>620</v>
      </c>
      <c r="Z22" s="42"/>
      <c r="AA22" s="20">
        <f t="shared" ref="AA22:AA23" si="11">Y22+Z22</f>
        <v>620</v>
      </c>
      <c r="AB22" s="21">
        <f t="shared" si="8"/>
        <v>1.0508474576271187</v>
      </c>
      <c r="AC22" s="3"/>
      <c r="AD22" s="3"/>
    </row>
    <row r="23" spans="1:30" ht="15.75" thickBot="1" x14ac:dyDescent="0.3">
      <c r="A23" s="1"/>
      <c r="B23" s="43" t="s">
        <v>40</v>
      </c>
      <c r="C23" s="44" t="s">
        <v>41</v>
      </c>
      <c r="D23" s="45"/>
      <c r="E23" s="46"/>
      <c r="F23" s="47">
        <v>123.2</v>
      </c>
      <c r="G23" s="48">
        <f t="shared" si="1"/>
        <v>123.2</v>
      </c>
      <c r="H23" s="49"/>
      <c r="I23" s="50">
        <f t="shared" si="2"/>
        <v>123.2</v>
      </c>
      <c r="J23" s="45"/>
      <c r="K23" s="46"/>
      <c r="L23" s="47">
        <v>50</v>
      </c>
      <c r="M23" s="48">
        <f t="shared" si="0"/>
        <v>50</v>
      </c>
      <c r="N23" s="49"/>
      <c r="O23" s="50">
        <f t="shared" si="9"/>
        <v>50</v>
      </c>
      <c r="P23" s="45"/>
      <c r="Q23" s="46"/>
      <c r="R23" s="47">
        <v>73.7</v>
      </c>
      <c r="S23" s="48">
        <f t="shared" si="4"/>
        <v>73.7</v>
      </c>
      <c r="T23" s="49"/>
      <c r="U23" s="50">
        <f t="shared" si="10"/>
        <v>73.7</v>
      </c>
      <c r="V23" s="45"/>
      <c r="W23" s="46"/>
      <c r="X23" s="47">
        <v>50</v>
      </c>
      <c r="Y23" s="48">
        <f t="shared" si="6"/>
        <v>50</v>
      </c>
      <c r="Z23" s="49"/>
      <c r="AA23" s="50">
        <f t="shared" si="11"/>
        <v>50</v>
      </c>
      <c r="AB23" s="51">
        <f t="shared" si="8"/>
        <v>1</v>
      </c>
      <c r="AC23" s="3"/>
      <c r="AD23" s="3"/>
    </row>
    <row r="24" spans="1:30" ht="15.75" thickBot="1" x14ac:dyDescent="0.3">
      <c r="A24" s="1"/>
      <c r="B24" s="52" t="s">
        <v>42</v>
      </c>
      <c r="C24" s="53" t="s">
        <v>43</v>
      </c>
      <c r="D24" s="54">
        <f>SUM(D15:D21)</f>
        <v>29598.799999999999</v>
      </c>
      <c r="E24" s="55">
        <f>SUM(E15:E21)</f>
        <v>2010.8</v>
      </c>
      <c r="F24" s="55">
        <f>SUM(F15:F21)</f>
        <v>4414.0600000000004</v>
      </c>
      <c r="G24" s="56">
        <f>SUM(D24:F24)</f>
        <v>36023.659999999996</v>
      </c>
      <c r="H24" s="57">
        <f>SUM(H15:H21)</f>
        <v>0</v>
      </c>
      <c r="I24" s="57">
        <f>SUM(I15:I21)</f>
        <v>36023.660000000003</v>
      </c>
      <c r="J24" s="54">
        <f>SUM(J15:J21)</f>
        <v>28342</v>
      </c>
      <c r="K24" s="55">
        <f>SUM(K15:K21)</f>
        <v>1497</v>
      </c>
      <c r="L24" s="55">
        <f>SUM(L15:L21)</f>
        <v>3854</v>
      </c>
      <c r="M24" s="56">
        <f>SUM(J24:L24)</f>
        <v>33693</v>
      </c>
      <c r="N24" s="57">
        <f>SUM(N15:N21)</f>
        <v>0</v>
      </c>
      <c r="O24" s="57">
        <f>SUM(O15:O21)</f>
        <v>33693</v>
      </c>
      <c r="P24" s="54">
        <f>SUM(P15:P21)</f>
        <v>14070.7</v>
      </c>
      <c r="Q24" s="55">
        <f>SUM(Q15:Q21)</f>
        <v>2214.6</v>
      </c>
      <c r="R24" s="55">
        <f>SUM(R15:R21)</f>
        <v>2124.6999999999998</v>
      </c>
      <c r="S24" s="56">
        <f>SUM(P24:R24)</f>
        <v>18410</v>
      </c>
      <c r="T24" s="57">
        <f>SUM(T15:T21)</f>
        <v>0</v>
      </c>
      <c r="U24" s="57">
        <f>SUM(U15:U21)</f>
        <v>18410</v>
      </c>
      <c r="V24" s="54">
        <f>SUM(V15:V21)</f>
        <v>29896</v>
      </c>
      <c r="W24" s="55">
        <f>SUM(W15:W21)</f>
        <v>1997</v>
      </c>
      <c r="X24" s="55">
        <f>SUM(X15:X21)</f>
        <v>3769</v>
      </c>
      <c r="Y24" s="56">
        <f>SUM(V24:X24)</f>
        <v>35662</v>
      </c>
      <c r="Z24" s="57">
        <f>SUM(Z15:Z21)</f>
        <v>0</v>
      </c>
      <c r="AA24" s="57">
        <f>SUM(AA15:AA21)</f>
        <v>35662</v>
      </c>
      <c r="AB24" s="58">
        <f t="shared" si="8"/>
        <v>1.058439438459027</v>
      </c>
      <c r="AC24" s="3"/>
      <c r="AD24" s="3"/>
    </row>
    <row r="25" spans="1:30" ht="15.75" customHeight="1" thickBot="1" x14ac:dyDescent="0.3">
      <c r="A25" s="1"/>
      <c r="B25" s="59"/>
      <c r="C25" s="60"/>
      <c r="D25" s="596" t="s">
        <v>44</v>
      </c>
      <c r="E25" s="597"/>
      <c r="F25" s="597"/>
      <c r="G25" s="598"/>
      <c r="H25" s="598"/>
      <c r="I25" s="599"/>
      <c r="J25" s="596" t="s">
        <v>44</v>
      </c>
      <c r="K25" s="597"/>
      <c r="L25" s="597"/>
      <c r="M25" s="598"/>
      <c r="N25" s="598"/>
      <c r="O25" s="599"/>
      <c r="P25" s="596" t="s">
        <v>44</v>
      </c>
      <c r="Q25" s="597"/>
      <c r="R25" s="597"/>
      <c r="S25" s="598"/>
      <c r="T25" s="598"/>
      <c r="U25" s="599"/>
      <c r="V25" s="596" t="s">
        <v>44</v>
      </c>
      <c r="W25" s="597"/>
      <c r="X25" s="597"/>
      <c r="Y25" s="598"/>
      <c r="Z25" s="598"/>
      <c r="AA25" s="599"/>
      <c r="AB25" s="600" t="s">
        <v>13</v>
      </c>
      <c r="AC25" s="3"/>
      <c r="AD25" s="3"/>
    </row>
    <row r="26" spans="1:30" ht="15.75" thickBot="1" x14ac:dyDescent="0.3">
      <c r="A26" s="1"/>
      <c r="B26" s="590" t="s">
        <v>7</v>
      </c>
      <c r="C26" s="592" t="s">
        <v>8</v>
      </c>
      <c r="D26" s="586" t="s">
        <v>45</v>
      </c>
      <c r="E26" s="587"/>
      <c r="F26" s="587"/>
      <c r="G26" s="588" t="s">
        <v>46</v>
      </c>
      <c r="H26" s="578" t="s">
        <v>47</v>
      </c>
      <c r="I26" s="580" t="s">
        <v>44</v>
      </c>
      <c r="J26" s="603" t="s">
        <v>45</v>
      </c>
      <c r="K26" s="604"/>
      <c r="L26" s="604"/>
      <c r="M26" s="588" t="s">
        <v>46</v>
      </c>
      <c r="N26" s="605" t="s">
        <v>47</v>
      </c>
      <c r="O26" s="607" t="s">
        <v>44</v>
      </c>
      <c r="P26" s="586" t="s">
        <v>45</v>
      </c>
      <c r="Q26" s="587"/>
      <c r="R26" s="587"/>
      <c r="S26" s="588" t="s">
        <v>46</v>
      </c>
      <c r="T26" s="578" t="s">
        <v>47</v>
      </c>
      <c r="U26" s="580" t="s">
        <v>44</v>
      </c>
      <c r="V26" s="586" t="s">
        <v>45</v>
      </c>
      <c r="W26" s="587"/>
      <c r="X26" s="587"/>
      <c r="Y26" s="588" t="s">
        <v>46</v>
      </c>
      <c r="Z26" s="578" t="s">
        <v>47</v>
      </c>
      <c r="AA26" s="580" t="s">
        <v>44</v>
      </c>
      <c r="AB26" s="601"/>
      <c r="AC26" s="3"/>
      <c r="AD26" s="3"/>
    </row>
    <row r="27" spans="1:30" ht="15.75" thickBot="1" x14ac:dyDescent="0.3">
      <c r="A27" s="1"/>
      <c r="B27" s="591"/>
      <c r="C27" s="593"/>
      <c r="D27" s="61" t="s">
        <v>48</v>
      </c>
      <c r="E27" s="62" t="s">
        <v>49</v>
      </c>
      <c r="F27" s="63" t="s">
        <v>50</v>
      </c>
      <c r="G27" s="589"/>
      <c r="H27" s="579"/>
      <c r="I27" s="581"/>
      <c r="J27" s="64" t="s">
        <v>48</v>
      </c>
      <c r="K27" s="65" t="s">
        <v>49</v>
      </c>
      <c r="L27" s="66" t="s">
        <v>50</v>
      </c>
      <c r="M27" s="589"/>
      <c r="N27" s="606"/>
      <c r="O27" s="608"/>
      <c r="P27" s="61" t="s">
        <v>48</v>
      </c>
      <c r="Q27" s="62" t="s">
        <v>49</v>
      </c>
      <c r="R27" s="63" t="s">
        <v>50</v>
      </c>
      <c r="S27" s="589"/>
      <c r="T27" s="579"/>
      <c r="U27" s="581"/>
      <c r="V27" s="61" t="s">
        <v>48</v>
      </c>
      <c r="W27" s="62" t="s">
        <v>49</v>
      </c>
      <c r="X27" s="63" t="s">
        <v>50</v>
      </c>
      <c r="Y27" s="589"/>
      <c r="Z27" s="579"/>
      <c r="AA27" s="581"/>
      <c r="AB27" s="602"/>
      <c r="AC27" s="3"/>
      <c r="AD27" s="3"/>
    </row>
    <row r="28" spans="1:30" x14ac:dyDescent="0.25">
      <c r="A28" s="1"/>
      <c r="B28" s="13" t="s">
        <v>51</v>
      </c>
      <c r="C28" s="67" t="s">
        <v>52</v>
      </c>
      <c r="D28" s="68">
        <v>1670.9</v>
      </c>
      <c r="E28" s="68"/>
      <c r="F28" s="69"/>
      <c r="G28" s="70">
        <f>SUM(D28:F28)</f>
        <v>1670.9</v>
      </c>
      <c r="H28" s="70"/>
      <c r="I28" s="71">
        <f>G28+H28</f>
        <v>1670.9</v>
      </c>
      <c r="J28" s="72">
        <v>600</v>
      </c>
      <c r="K28" s="68"/>
      <c r="L28" s="68"/>
      <c r="M28" s="70">
        <f>SUM(J28:L28)</f>
        <v>600</v>
      </c>
      <c r="N28" s="70"/>
      <c r="O28" s="71">
        <f>M28+N28</f>
        <v>600</v>
      </c>
      <c r="P28" s="72">
        <v>94</v>
      </c>
      <c r="Q28" s="68"/>
      <c r="R28" s="68"/>
      <c r="S28" s="70">
        <f>SUM(P28:R28)</f>
        <v>94</v>
      </c>
      <c r="T28" s="70"/>
      <c r="U28" s="71">
        <f>S28+T28</f>
        <v>94</v>
      </c>
      <c r="V28" s="72">
        <v>1250</v>
      </c>
      <c r="W28" s="68"/>
      <c r="X28" s="68"/>
      <c r="Y28" s="70">
        <f>SUM(V28:X28)</f>
        <v>1250</v>
      </c>
      <c r="Z28" s="70"/>
      <c r="AA28" s="71">
        <f>Y28+Z28</f>
        <v>1250</v>
      </c>
      <c r="AB28" s="21">
        <f t="shared" ref="AB28:AB41" si="12">(AA28/O28)</f>
        <v>2.0833333333333335</v>
      </c>
      <c r="AC28" s="3"/>
      <c r="AD28" s="3"/>
    </row>
    <row r="29" spans="1:30" x14ac:dyDescent="0.25">
      <c r="A29" s="1"/>
      <c r="B29" s="22" t="s">
        <v>53</v>
      </c>
      <c r="C29" s="73" t="s">
        <v>54</v>
      </c>
      <c r="D29" s="74">
        <v>580</v>
      </c>
      <c r="E29" s="75">
        <v>568</v>
      </c>
      <c r="F29" s="75">
        <v>2522.5</v>
      </c>
      <c r="G29" s="76">
        <f t="shared" ref="G29:G38" si="13">SUM(D29:F29)</f>
        <v>3670.5</v>
      </c>
      <c r="H29" s="77"/>
      <c r="I29" s="20">
        <f t="shared" ref="I29:I38" si="14">G29+H29</f>
        <v>3670.5</v>
      </c>
      <c r="J29" s="78">
        <v>81</v>
      </c>
      <c r="K29" s="79">
        <v>476</v>
      </c>
      <c r="L29" s="75">
        <v>2438</v>
      </c>
      <c r="M29" s="76">
        <f t="shared" ref="M29:M38" si="15">SUM(J29:L29)</f>
        <v>2995</v>
      </c>
      <c r="N29" s="77"/>
      <c r="O29" s="20">
        <f t="shared" ref="O29:O38" si="16">M29+N29</f>
        <v>2995</v>
      </c>
      <c r="P29" s="78">
        <v>17.8</v>
      </c>
      <c r="Q29" s="75">
        <v>253.5</v>
      </c>
      <c r="R29" s="75">
        <v>1000</v>
      </c>
      <c r="S29" s="76">
        <f t="shared" ref="S29:S38" si="17">SUM(P29:R29)</f>
        <v>1271.3</v>
      </c>
      <c r="T29" s="77"/>
      <c r="U29" s="20">
        <f t="shared" ref="U29:U38" si="18">S29+T29</f>
        <v>1271.3</v>
      </c>
      <c r="V29" s="78">
        <v>300</v>
      </c>
      <c r="W29" s="75">
        <v>534.5</v>
      </c>
      <c r="X29" s="75">
        <v>2435</v>
      </c>
      <c r="Y29" s="76">
        <f t="shared" ref="Y29:Y38" si="19">SUM(V29:X29)</f>
        <v>3269.5</v>
      </c>
      <c r="Z29" s="77"/>
      <c r="AA29" s="20">
        <f t="shared" ref="AA29:AA38" si="20">Y29+Z29</f>
        <v>3269.5</v>
      </c>
      <c r="AB29" s="21">
        <f t="shared" si="12"/>
        <v>1.0916527545909849</v>
      </c>
      <c r="AC29" s="3"/>
      <c r="AD29" s="3"/>
    </row>
    <row r="30" spans="1:30" x14ac:dyDescent="0.25">
      <c r="A30" s="1"/>
      <c r="B30" s="22" t="s">
        <v>55</v>
      </c>
      <c r="C30" s="41" t="s">
        <v>56</v>
      </c>
      <c r="D30" s="79">
        <v>2323</v>
      </c>
      <c r="E30" s="79"/>
      <c r="F30" s="75"/>
      <c r="G30" s="76">
        <f t="shared" si="13"/>
        <v>2323</v>
      </c>
      <c r="H30" s="76"/>
      <c r="I30" s="20">
        <f t="shared" si="14"/>
        <v>2323</v>
      </c>
      <c r="J30" s="80">
        <v>2350</v>
      </c>
      <c r="K30" s="79">
        <v>0</v>
      </c>
      <c r="L30" s="79"/>
      <c r="M30" s="76">
        <f t="shared" si="15"/>
        <v>2350</v>
      </c>
      <c r="N30" s="76"/>
      <c r="O30" s="20">
        <f t="shared" si="16"/>
        <v>2350</v>
      </c>
      <c r="P30" s="80">
        <v>1242.2</v>
      </c>
      <c r="Q30" s="79"/>
      <c r="R30" s="79"/>
      <c r="S30" s="76">
        <f t="shared" si="17"/>
        <v>1242.2</v>
      </c>
      <c r="T30" s="76"/>
      <c r="U30" s="20">
        <f t="shared" si="18"/>
        <v>1242.2</v>
      </c>
      <c r="V30" s="80">
        <v>2450</v>
      </c>
      <c r="W30" s="79"/>
      <c r="X30" s="79"/>
      <c r="Y30" s="76">
        <f t="shared" si="19"/>
        <v>2450</v>
      </c>
      <c r="Z30" s="76"/>
      <c r="AA30" s="20">
        <f t="shared" si="20"/>
        <v>2450</v>
      </c>
      <c r="AB30" s="21">
        <f t="shared" si="12"/>
        <v>1.0425531914893618</v>
      </c>
      <c r="AC30" s="3"/>
      <c r="AD30" s="3"/>
    </row>
    <row r="31" spans="1:30" x14ac:dyDescent="0.25">
      <c r="A31" s="1"/>
      <c r="B31" s="22" t="s">
        <v>57</v>
      </c>
      <c r="C31" s="41" t="s">
        <v>58</v>
      </c>
      <c r="D31" s="79">
        <v>1467.1</v>
      </c>
      <c r="E31" s="79">
        <v>101.5</v>
      </c>
      <c r="F31" s="75">
        <v>1583</v>
      </c>
      <c r="G31" s="76">
        <f t="shared" si="13"/>
        <v>3151.6</v>
      </c>
      <c r="H31" s="76"/>
      <c r="I31" s="20">
        <f t="shared" si="14"/>
        <v>3151.6</v>
      </c>
      <c r="J31" s="80">
        <v>1720</v>
      </c>
      <c r="K31" s="79">
        <v>57</v>
      </c>
      <c r="L31" s="79">
        <v>643</v>
      </c>
      <c r="M31" s="76">
        <f t="shared" si="15"/>
        <v>2420</v>
      </c>
      <c r="N31" s="76"/>
      <c r="O31" s="20">
        <f t="shared" si="16"/>
        <v>2420</v>
      </c>
      <c r="P31" s="80">
        <v>948.3</v>
      </c>
      <c r="Q31" s="79">
        <v>58.6</v>
      </c>
      <c r="R31" s="79">
        <v>350</v>
      </c>
      <c r="S31" s="76">
        <f t="shared" si="17"/>
        <v>1356.9</v>
      </c>
      <c r="T31" s="76"/>
      <c r="U31" s="20">
        <f t="shared" si="18"/>
        <v>1356.9</v>
      </c>
      <c r="V31" s="80">
        <v>2100</v>
      </c>
      <c r="W31" s="79">
        <v>107</v>
      </c>
      <c r="X31" s="79">
        <v>680</v>
      </c>
      <c r="Y31" s="76">
        <f t="shared" si="19"/>
        <v>2887</v>
      </c>
      <c r="Z31" s="76"/>
      <c r="AA31" s="20">
        <f t="shared" si="20"/>
        <v>2887</v>
      </c>
      <c r="AB31" s="21">
        <f t="shared" si="12"/>
        <v>1.1929752066115702</v>
      </c>
      <c r="AC31" s="3"/>
      <c r="AD31" s="3"/>
    </row>
    <row r="32" spans="1:30" x14ac:dyDescent="0.25">
      <c r="A32" s="1"/>
      <c r="B32" s="22" t="s">
        <v>59</v>
      </c>
      <c r="C32" s="41" t="s">
        <v>60</v>
      </c>
      <c r="D32" s="79">
        <v>15473.7</v>
      </c>
      <c r="E32" s="79">
        <v>916.1</v>
      </c>
      <c r="F32" s="75"/>
      <c r="G32" s="76">
        <f t="shared" si="13"/>
        <v>16389.8</v>
      </c>
      <c r="H32" s="76"/>
      <c r="I32" s="20">
        <f t="shared" si="14"/>
        <v>16389.8</v>
      </c>
      <c r="J32" s="80">
        <f>SUM(J33:J34)</f>
        <v>16250</v>
      </c>
      <c r="K32" s="79">
        <f>SUM(K33:K34)</f>
        <v>705</v>
      </c>
      <c r="L32" s="79">
        <f>SUM(L33:L34)</f>
        <v>300</v>
      </c>
      <c r="M32" s="76">
        <f t="shared" si="15"/>
        <v>17255</v>
      </c>
      <c r="N32" s="76"/>
      <c r="O32" s="20">
        <f t="shared" si="16"/>
        <v>17255</v>
      </c>
      <c r="P32" s="80">
        <v>7851.5</v>
      </c>
      <c r="Q32" s="79">
        <v>431.7</v>
      </c>
      <c r="R32" s="79"/>
      <c r="S32" s="76">
        <f t="shared" si="17"/>
        <v>8283.2000000000007</v>
      </c>
      <c r="T32" s="76"/>
      <c r="U32" s="20">
        <f t="shared" si="18"/>
        <v>8283.2000000000007</v>
      </c>
      <c r="V32" s="80">
        <v>16400</v>
      </c>
      <c r="W32" s="79">
        <v>990</v>
      </c>
      <c r="X32" s="79">
        <v>200</v>
      </c>
      <c r="Y32" s="76">
        <f t="shared" si="19"/>
        <v>17590</v>
      </c>
      <c r="Z32" s="76"/>
      <c r="AA32" s="20">
        <f t="shared" si="20"/>
        <v>17590</v>
      </c>
      <c r="AB32" s="21">
        <f t="shared" si="12"/>
        <v>1.0194146624166909</v>
      </c>
      <c r="AC32" s="3"/>
      <c r="AD32" s="3"/>
    </row>
    <row r="33" spans="1:30" x14ac:dyDescent="0.25">
      <c r="A33" s="1"/>
      <c r="B33" s="22" t="s">
        <v>61</v>
      </c>
      <c r="C33" s="35" t="s">
        <v>62</v>
      </c>
      <c r="D33" s="79">
        <v>14785.9</v>
      </c>
      <c r="E33" s="79">
        <v>906.5</v>
      </c>
      <c r="F33" s="75"/>
      <c r="G33" s="76">
        <f t="shared" si="13"/>
        <v>15692.4</v>
      </c>
      <c r="H33" s="76"/>
      <c r="I33" s="20">
        <f t="shared" si="14"/>
        <v>15692.4</v>
      </c>
      <c r="J33" s="80">
        <v>15400</v>
      </c>
      <c r="K33" s="79">
        <v>670</v>
      </c>
      <c r="L33" s="79">
        <v>300</v>
      </c>
      <c r="M33" s="76">
        <f t="shared" si="15"/>
        <v>16370</v>
      </c>
      <c r="N33" s="76"/>
      <c r="O33" s="20">
        <f t="shared" si="16"/>
        <v>16370</v>
      </c>
      <c r="P33" s="80">
        <f>7196.5+120.8</f>
        <v>7317.3</v>
      </c>
      <c r="Q33" s="79">
        <v>431.7</v>
      </c>
      <c r="R33" s="79"/>
      <c r="S33" s="76">
        <f t="shared" si="17"/>
        <v>7749</v>
      </c>
      <c r="T33" s="76"/>
      <c r="U33" s="20">
        <f t="shared" si="18"/>
        <v>7749</v>
      </c>
      <c r="V33" s="80">
        <v>15400</v>
      </c>
      <c r="W33" s="79">
        <v>960</v>
      </c>
      <c r="X33" s="79">
        <v>200</v>
      </c>
      <c r="Y33" s="76">
        <f t="shared" si="19"/>
        <v>16560</v>
      </c>
      <c r="Z33" s="76"/>
      <c r="AA33" s="20">
        <f t="shared" si="20"/>
        <v>16560</v>
      </c>
      <c r="AB33" s="21">
        <f t="shared" si="12"/>
        <v>1.0116065974343311</v>
      </c>
      <c r="AC33" s="3"/>
      <c r="AD33" s="3"/>
    </row>
    <row r="34" spans="1:30" x14ac:dyDescent="0.25">
      <c r="A34" s="1"/>
      <c r="B34" s="22" t="s">
        <v>63</v>
      </c>
      <c r="C34" s="81" t="s">
        <v>64</v>
      </c>
      <c r="D34" s="79">
        <v>687.8</v>
      </c>
      <c r="E34" s="79">
        <v>9.6</v>
      </c>
      <c r="F34" s="75"/>
      <c r="G34" s="76">
        <f t="shared" si="13"/>
        <v>697.4</v>
      </c>
      <c r="H34" s="76"/>
      <c r="I34" s="20">
        <f t="shared" si="14"/>
        <v>697.4</v>
      </c>
      <c r="J34" s="80">
        <v>850</v>
      </c>
      <c r="K34" s="79">
        <v>35</v>
      </c>
      <c r="L34" s="79"/>
      <c r="M34" s="76">
        <f>SUM(J34:L34)</f>
        <v>885</v>
      </c>
      <c r="N34" s="76"/>
      <c r="O34" s="20">
        <f t="shared" si="16"/>
        <v>885</v>
      </c>
      <c r="P34" s="82">
        <v>534.20000000000005</v>
      </c>
      <c r="Q34" s="79"/>
      <c r="R34" s="79"/>
      <c r="S34" s="76">
        <f t="shared" si="17"/>
        <v>534.20000000000005</v>
      </c>
      <c r="T34" s="76"/>
      <c r="U34" s="20">
        <f t="shared" si="18"/>
        <v>534.20000000000005</v>
      </c>
      <c r="V34" s="80">
        <v>1000</v>
      </c>
      <c r="W34" s="79">
        <v>30</v>
      </c>
      <c r="X34" s="79"/>
      <c r="Y34" s="76">
        <f t="shared" si="19"/>
        <v>1030</v>
      </c>
      <c r="Z34" s="76"/>
      <c r="AA34" s="20">
        <f t="shared" si="20"/>
        <v>1030</v>
      </c>
      <c r="AB34" s="21">
        <f t="shared" si="12"/>
        <v>1.1638418079096045</v>
      </c>
      <c r="AC34" s="3"/>
      <c r="AD34" s="3"/>
    </row>
    <row r="35" spans="1:30" x14ac:dyDescent="0.25">
      <c r="A35" s="1"/>
      <c r="B35" s="22" t="s">
        <v>65</v>
      </c>
      <c r="C35" s="41" t="s">
        <v>66</v>
      </c>
      <c r="D35" s="79">
        <v>5037</v>
      </c>
      <c r="E35" s="79">
        <v>309</v>
      </c>
      <c r="F35" s="75"/>
      <c r="G35" s="76">
        <f t="shared" si="13"/>
        <v>5346</v>
      </c>
      <c r="H35" s="76"/>
      <c r="I35" s="20">
        <f t="shared" si="14"/>
        <v>5346</v>
      </c>
      <c r="J35" s="80">
        <v>5501</v>
      </c>
      <c r="K35" s="79">
        <v>228</v>
      </c>
      <c r="L35" s="79"/>
      <c r="M35" s="76">
        <f t="shared" si="15"/>
        <v>5729</v>
      </c>
      <c r="N35" s="76"/>
      <c r="O35" s="20">
        <f t="shared" si="16"/>
        <v>5729</v>
      </c>
      <c r="P35" s="82">
        <v>2478.4</v>
      </c>
      <c r="Q35" s="79">
        <v>147.1</v>
      </c>
      <c r="R35" s="79"/>
      <c r="S35" s="76">
        <f t="shared" si="17"/>
        <v>2625.5</v>
      </c>
      <c r="T35" s="76"/>
      <c r="U35" s="20">
        <f t="shared" si="18"/>
        <v>2625.5</v>
      </c>
      <c r="V35" s="80">
        <v>5317</v>
      </c>
      <c r="W35" s="79">
        <v>326.5</v>
      </c>
      <c r="X35" s="79"/>
      <c r="Y35" s="76">
        <f t="shared" si="19"/>
        <v>5643.5</v>
      </c>
      <c r="Z35" s="76"/>
      <c r="AA35" s="20">
        <f t="shared" si="20"/>
        <v>5643.5</v>
      </c>
      <c r="AB35" s="21">
        <f t="shared" si="12"/>
        <v>0.98507592948158496</v>
      </c>
      <c r="AC35" s="3"/>
      <c r="AD35" s="3"/>
    </row>
    <row r="36" spans="1:30" x14ac:dyDescent="0.25">
      <c r="A36" s="1"/>
      <c r="B36" s="22" t="s">
        <v>67</v>
      </c>
      <c r="C36" s="41" t="s">
        <v>68</v>
      </c>
      <c r="D36" s="79">
        <v>15.6</v>
      </c>
      <c r="E36" s="79"/>
      <c r="F36" s="75"/>
      <c r="G36" s="76">
        <f t="shared" si="13"/>
        <v>15.6</v>
      </c>
      <c r="H36" s="76"/>
      <c r="I36" s="20">
        <f t="shared" si="14"/>
        <v>15.6</v>
      </c>
      <c r="J36" s="80">
        <v>5</v>
      </c>
      <c r="K36" s="79">
        <v>0</v>
      </c>
      <c r="L36" s="79"/>
      <c r="M36" s="76">
        <f t="shared" si="15"/>
        <v>5</v>
      </c>
      <c r="N36" s="76"/>
      <c r="O36" s="20">
        <f t="shared" si="16"/>
        <v>5</v>
      </c>
      <c r="P36" s="80">
        <v>10.9</v>
      </c>
      <c r="Q36" s="79"/>
      <c r="R36" s="79"/>
      <c r="S36" s="76">
        <f t="shared" si="17"/>
        <v>10.9</v>
      </c>
      <c r="T36" s="76"/>
      <c r="U36" s="20">
        <f t="shared" si="18"/>
        <v>10.9</v>
      </c>
      <c r="V36" s="80">
        <v>15</v>
      </c>
      <c r="W36" s="79"/>
      <c r="X36" s="79"/>
      <c r="Y36" s="76">
        <f t="shared" si="19"/>
        <v>15</v>
      </c>
      <c r="Z36" s="76"/>
      <c r="AA36" s="20">
        <f t="shared" si="20"/>
        <v>15</v>
      </c>
      <c r="AB36" s="21">
        <f t="shared" si="12"/>
        <v>3</v>
      </c>
      <c r="AC36" s="3"/>
      <c r="AD36" s="3"/>
    </row>
    <row r="37" spans="1:30" x14ac:dyDescent="0.25">
      <c r="A37" s="1"/>
      <c r="B37" s="22" t="s">
        <v>69</v>
      </c>
      <c r="C37" s="41" t="s">
        <v>70</v>
      </c>
      <c r="D37" s="79">
        <v>767.8</v>
      </c>
      <c r="E37" s="79"/>
      <c r="F37" s="75"/>
      <c r="G37" s="76">
        <f t="shared" si="13"/>
        <v>767.8</v>
      </c>
      <c r="H37" s="76"/>
      <c r="I37" s="20">
        <f t="shared" si="14"/>
        <v>767.8</v>
      </c>
      <c r="J37" s="80">
        <v>761</v>
      </c>
      <c r="K37" s="79">
        <v>0</v>
      </c>
      <c r="L37" s="79"/>
      <c r="M37" s="76">
        <f t="shared" si="15"/>
        <v>761</v>
      </c>
      <c r="N37" s="76"/>
      <c r="O37" s="20">
        <f t="shared" si="16"/>
        <v>761</v>
      </c>
      <c r="P37" s="80">
        <v>389.5</v>
      </c>
      <c r="Q37" s="79"/>
      <c r="R37" s="79"/>
      <c r="S37" s="76">
        <f t="shared" si="17"/>
        <v>389.5</v>
      </c>
      <c r="T37" s="76"/>
      <c r="U37" s="20">
        <f t="shared" si="18"/>
        <v>389.5</v>
      </c>
      <c r="V37" s="80">
        <v>832</v>
      </c>
      <c r="W37" s="79"/>
      <c r="X37" s="79"/>
      <c r="Y37" s="76">
        <f t="shared" si="19"/>
        <v>832</v>
      </c>
      <c r="Z37" s="76"/>
      <c r="AA37" s="20">
        <f t="shared" si="20"/>
        <v>832</v>
      </c>
      <c r="AB37" s="21">
        <f t="shared" si="12"/>
        <v>1.0932982917214191</v>
      </c>
      <c r="AC37" s="3"/>
      <c r="AD37" s="3"/>
    </row>
    <row r="38" spans="1:30" ht="15.75" thickBot="1" x14ac:dyDescent="0.3">
      <c r="A38" s="1"/>
      <c r="B38" s="83" t="s">
        <v>71</v>
      </c>
      <c r="C38" s="84" t="s">
        <v>72</v>
      </c>
      <c r="D38" s="85">
        <v>1529.4</v>
      </c>
      <c r="E38" s="85">
        <v>116.2</v>
      </c>
      <c r="F38" s="86">
        <v>204</v>
      </c>
      <c r="G38" s="76">
        <f t="shared" si="13"/>
        <v>1849.6000000000001</v>
      </c>
      <c r="H38" s="87"/>
      <c r="I38" s="50">
        <f t="shared" si="14"/>
        <v>1849.6000000000001</v>
      </c>
      <c r="J38" s="88">
        <v>1286</v>
      </c>
      <c r="K38" s="89">
        <v>31</v>
      </c>
      <c r="L38" s="89">
        <v>261</v>
      </c>
      <c r="M38" s="87">
        <f t="shared" si="15"/>
        <v>1578</v>
      </c>
      <c r="N38" s="87"/>
      <c r="O38" s="50">
        <f t="shared" si="16"/>
        <v>1578</v>
      </c>
      <c r="P38" s="88">
        <v>638</v>
      </c>
      <c r="Q38" s="89">
        <v>35</v>
      </c>
      <c r="R38" s="89">
        <v>130.5</v>
      </c>
      <c r="S38" s="87">
        <f t="shared" si="17"/>
        <v>803.5</v>
      </c>
      <c r="T38" s="87"/>
      <c r="U38" s="50">
        <f t="shared" si="18"/>
        <v>803.5</v>
      </c>
      <c r="V38" s="88">
        <v>1280</v>
      </c>
      <c r="W38" s="89">
        <v>39</v>
      </c>
      <c r="X38" s="89">
        <v>406</v>
      </c>
      <c r="Y38" s="87">
        <f t="shared" si="19"/>
        <v>1725</v>
      </c>
      <c r="Z38" s="87"/>
      <c r="AA38" s="50">
        <f t="shared" si="20"/>
        <v>1725</v>
      </c>
      <c r="AB38" s="51">
        <f t="shared" si="12"/>
        <v>1.0931558935361216</v>
      </c>
      <c r="AC38" s="3"/>
      <c r="AD38" s="3"/>
    </row>
    <row r="39" spans="1:30" ht="15.75" thickBot="1" x14ac:dyDescent="0.3">
      <c r="A39" s="1"/>
      <c r="B39" s="52" t="s">
        <v>73</v>
      </c>
      <c r="C39" s="90" t="s">
        <v>74</v>
      </c>
      <c r="D39" s="91">
        <f>SUM(D35:D38)+SUM(D28:D32)</f>
        <v>28864.5</v>
      </c>
      <c r="E39" s="91">
        <f>SUM(E35:E38)+SUM(E28:E32)</f>
        <v>2010.8</v>
      </c>
      <c r="F39" s="91">
        <f>SUM(F35:F38)+SUM(F28:F32)</f>
        <v>4309.5</v>
      </c>
      <c r="G39" s="92">
        <f>SUM(D39:F39)</f>
        <v>35184.800000000003</v>
      </c>
      <c r="H39" s="93">
        <f>SUM(H28:H32)+SUM(H35:H38)</f>
        <v>0</v>
      </c>
      <c r="I39" s="94">
        <f>SUM(I35:I38)+SUM(I28:I32)</f>
        <v>35184.800000000003</v>
      </c>
      <c r="J39" s="91">
        <f>SUM(J35:J38)+SUM(J28:J32)</f>
        <v>28554</v>
      </c>
      <c r="K39" s="91">
        <f>SUM(K35:K38)+SUM(K28:K32)</f>
        <v>1497</v>
      </c>
      <c r="L39" s="91">
        <f>SUM(L35:L38)+SUM(L28:L32)</f>
        <v>3642</v>
      </c>
      <c r="M39" s="92">
        <f>SUM(J39:L39)</f>
        <v>33693</v>
      </c>
      <c r="N39" s="93">
        <f>SUM(N28:N32)+SUM(N35:N38)</f>
        <v>0</v>
      </c>
      <c r="O39" s="94">
        <f>SUM(O35:O38)+SUM(O28:O32)</f>
        <v>33693</v>
      </c>
      <c r="P39" s="91">
        <f>SUM(P35:P38)+SUM(P28:P32)</f>
        <v>13670.599999999999</v>
      </c>
      <c r="Q39" s="91">
        <f>SUM(Q35:Q38)+SUM(Q28:Q32)</f>
        <v>925.9</v>
      </c>
      <c r="R39" s="91">
        <f>SUM(R35:R38)+SUM(R28:R32)</f>
        <v>1480.5</v>
      </c>
      <c r="S39" s="92">
        <f>SUM(P39:R39)</f>
        <v>16076.999999999998</v>
      </c>
      <c r="T39" s="93">
        <f>SUM(T28:T32)+SUM(T35:T38)</f>
        <v>0</v>
      </c>
      <c r="U39" s="94">
        <f>SUM(U35:U38)+SUM(U28:U32)</f>
        <v>16077</v>
      </c>
      <c r="V39" s="91">
        <f>SUM(V35:V38)+SUM(V28:V32)</f>
        <v>29944</v>
      </c>
      <c r="W39" s="91">
        <f>SUM(W35:W38)+SUM(W28:W32)</f>
        <v>1997</v>
      </c>
      <c r="X39" s="91">
        <f>SUM(X35:X38)+SUM(X28:X32)</f>
        <v>3721</v>
      </c>
      <c r="Y39" s="92">
        <f>SUM(V39:X39)</f>
        <v>35662</v>
      </c>
      <c r="Z39" s="93">
        <f>SUM(Z28:Z32)+SUM(Z35:Z38)</f>
        <v>0</v>
      </c>
      <c r="AA39" s="94">
        <f>SUM(AA35:AA38)+SUM(AA28:AA32)</f>
        <v>35662</v>
      </c>
      <c r="AB39" s="95">
        <f t="shared" si="12"/>
        <v>1.058439438459027</v>
      </c>
      <c r="AC39" s="3"/>
      <c r="AD39" s="3"/>
    </row>
    <row r="40" spans="1:30" ht="19.5" thickBot="1" x14ac:dyDescent="0.35">
      <c r="A40" s="1"/>
      <c r="B40" s="96" t="s">
        <v>75</v>
      </c>
      <c r="C40" s="97" t="s">
        <v>76</v>
      </c>
      <c r="D40" s="98">
        <f t="shared" ref="D40:AA40" si="21">D24-D39</f>
        <v>734.29999999999927</v>
      </c>
      <c r="E40" s="98">
        <f t="shared" si="21"/>
        <v>0</v>
      </c>
      <c r="F40" s="98">
        <f t="shared" si="21"/>
        <v>104.5600000000004</v>
      </c>
      <c r="G40" s="99">
        <f t="shared" si="21"/>
        <v>838.85999999999331</v>
      </c>
      <c r="H40" s="99">
        <f t="shared" si="21"/>
        <v>0</v>
      </c>
      <c r="I40" s="100">
        <f t="shared" si="21"/>
        <v>838.86000000000058</v>
      </c>
      <c r="J40" s="101">
        <f t="shared" si="21"/>
        <v>-212</v>
      </c>
      <c r="K40" s="101">
        <f t="shared" si="21"/>
        <v>0</v>
      </c>
      <c r="L40" s="101">
        <f t="shared" si="21"/>
        <v>212</v>
      </c>
      <c r="M40" s="102">
        <f t="shared" si="21"/>
        <v>0</v>
      </c>
      <c r="N40" s="102">
        <f t="shared" si="21"/>
        <v>0</v>
      </c>
      <c r="O40" s="103">
        <f t="shared" si="21"/>
        <v>0</v>
      </c>
      <c r="P40" s="98">
        <f t="shared" si="21"/>
        <v>400.10000000000218</v>
      </c>
      <c r="Q40" s="98">
        <f t="shared" si="21"/>
        <v>1288.6999999999998</v>
      </c>
      <c r="R40" s="98">
        <f t="shared" si="21"/>
        <v>644.19999999999982</v>
      </c>
      <c r="S40" s="99">
        <f t="shared" si="21"/>
        <v>2333.0000000000018</v>
      </c>
      <c r="T40" s="99">
        <f t="shared" si="21"/>
        <v>0</v>
      </c>
      <c r="U40" s="100">
        <f t="shared" si="21"/>
        <v>2333</v>
      </c>
      <c r="V40" s="98">
        <f t="shared" si="21"/>
        <v>-48</v>
      </c>
      <c r="W40" s="98">
        <f t="shared" si="21"/>
        <v>0</v>
      </c>
      <c r="X40" s="98">
        <f t="shared" si="21"/>
        <v>48</v>
      </c>
      <c r="Y40" s="99">
        <f t="shared" si="21"/>
        <v>0</v>
      </c>
      <c r="Z40" s="99">
        <f t="shared" si="21"/>
        <v>0</v>
      </c>
      <c r="AA40" s="100">
        <f t="shared" si="21"/>
        <v>0</v>
      </c>
      <c r="AB40" s="104" t="e">
        <f t="shared" si="12"/>
        <v>#DIV/0!</v>
      </c>
      <c r="AC40" s="3"/>
      <c r="AD40" s="3"/>
    </row>
    <row r="41" spans="1:30" ht="15.75" thickBot="1" x14ac:dyDescent="0.3">
      <c r="A41" s="1"/>
      <c r="B41" s="105" t="s">
        <v>77</v>
      </c>
      <c r="C41" s="106" t="s">
        <v>78</v>
      </c>
      <c r="D41" s="107"/>
      <c r="E41" s="108"/>
      <c r="F41" s="108"/>
      <c r="G41" s="109"/>
      <c r="H41" s="110"/>
      <c r="I41" s="111">
        <f>I40-D16</f>
        <v>-28714.14</v>
      </c>
      <c r="J41" s="107"/>
      <c r="K41" s="108"/>
      <c r="L41" s="108"/>
      <c r="M41" s="112"/>
      <c r="N41" s="113"/>
      <c r="O41" s="114">
        <f>O40-J16</f>
        <v>-28296</v>
      </c>
      <c r="P41" s="107"/>
      <c r="Q41" s="108"/>
      <c r="R41" s="108"/>
      <c r="S41" s="109"/>
      <c r="T41" s="113"/>
      <c r="U41" s="111">
        <f>U40-P16</f>
        <v>-11715</v>
      </c>
      <c r="V41" s="107"/>
      <c r="W41" s="108"/>
      <c r="X41" s="108"/>
      <c r="Y41" s="109"/>
      <c r="Z41" s="113"/>
      <c r="AA41" s="111">
        <f>AA40-V16</f>
        <v>-29850</v>
      </c>
      <c r="AB41" s="21">
        <f t="shared" si="12"/>
        <v>1.0549194232400338</v>
      </c>
      <c r="AC41" s="3"/>
      <c r="AD41" s="3"/>
    </row>
    <row r="42" spans="1:30" s="121" customFormat="1" ht="8.25" customHeight="1" thickBot="1" x14ac:dyDescent="0.3">
      <c r="A42" s="115"/>
      <c r="B42" s="116"/>
      <c r="C42" s="117"/>
      <c r="D42" s="118"/>
      <c r="E42" s="119"/>
      <c r="F42" s="119"/>
      <c r="G42" s="115"/>
      <c r="H42" s="119"/>
      <c r="I42" s="119"/>
      <c r="J42" s="118"/>
      <c r="K42" s="119"/>
      <c r="L42" s="119"/>
      <c r="M42" s="115"/>
      <c r="N42" s="119"/>
      <c r="O42" s="119"/>
      <c r="P42" s="119"/>
      <c r="Q42" s="119"/>
      <c r="R42" s="119"/>
      <c r="S42" s="119"/>
      <c r="T42" s="119"/>
      <c r="U42" s="119"/>
      <c r="V42" s="120"/>
      <c r="W42" s="120"/>
      <c r="X42" s="120"/>
      <c r="Y42" s="120"/>
      <c r="Z42" s="120"/>
      <c r="AA42" s="120"/>
      <c r="AB42" s="120"/>
      <c r="AC42" s="120"/>
      <c r="AD42" s="120"/>
    </row>
    <row r="43" spans="1:30" s="121" customFormat="1" ht="15.75" customHeight="1" thickBot="1" x14ac:dyDescent="0.3">
      <c r="A43" s="115"/>
      <c r="B43" s="122"/>
      <c r="C43" s="582" t="s">
        <v>79</v>
      </c>
      <c r="D43" s="123" t="s">
        <v>80</v>
      </c>
      <c r="E43" s="124" t="s">
        <v>81</v>
      </c>
      <c r="F43" s="125" t="s">
        <v>82</v>
      </c>
      <c r="G43" s="119"/>
      <c r="H43" s="119"/>
      <c r="I43" s="126"/>
      <c r="J43" s="123" t="s">
        <v>80</v>
      </c>
      <c r="K43" s="124" t="s">
        <v>81</v>
      </c>
      <c r="L43" s="125" t="s">
        <v>82</v>
      </c>
      <c r="M43" s="119"/>
      <c r="N43" s="119"/>
      <c r="O43" s="119"/>
      <c r="P43" s="123" t="s">
        <v>80</v>
      </c>
      <c r="Q43" s="124" t="s">
        <v>81</v>
      </c>
      <c r="R43" s="125" t="s">
        <v>82</v>
      </c>
      <c r="S43" s="120"/>
      <c r="T43" s="120"/>
      <c r="U43" s="120"/>
      <c r="V43" s="123" t="s">
        <v>80</v>
      </c>
      <c r="W43" s="124" t="s">
        <v>81</v>
      </c>
      <c r="X43" s="125" t="s">
        <v>82</v>
      </c>
      <c r="Y43" s="120"/>
      <c r="Z43" s="120"/>
      <c r="AA43" s="120"/>
      <c r="AB43" s="120"/>
      <c r="AC43" s="120"/>
      <c r="AD43" s="120"/>
    </row>
    <row r="44" spans="1:30" ht="15.75" thickBot="1" x14ac:dyDescent="0.3">
      <c r="A44" s="1"/>
      <c r="B44" s="122"/>
      <c r="C44" s="583"/>
      <c r="D44" s="127"/>
      <c r="E44" s="128"/>
      <c r="F44" s="129">
        <v>0</v>
      </c>
      <c r="G44" s="119"/>
      <c r="H44" s="119"/>
      <c r="I44" s="126"/>
      <c r="J44" s="127"/>
      <c r="K44" s="128"/>
      <c r="L44" s="129">
        <v>0</v>
      </c>
      <c r="M44" s="130"/>
      <c r="N44" s="130"/>
      <c r="O44" s="130"/>
      <c r="P44" s="127"/>
      <c r="Q44" s="128"/>
      <c r="R44" s="129">
        <v>0</v>
      </c>
      <c r="S44" s="3"/>
      <c r="T44" s="3"/>
      <c r="U44" s="3"/>
      <c r="V44" s="127"/>
      <c r="W44" s="128"/>
      <c r="X44" s="129">
        <v>0</v>
      </c>
      <c r="Y44" s="3"/>
      <c r="Z44" s="3"/>
      <c r="AA44" s="3"/>
      <c r="AB44" s="3"/>
      <c r="AC44" s="3"/>
      <c r="AD44" s="3"/>
    </row>
    <row r="45" spans="1:30" s="121" customFormat="1" ht="8.25" customHeight="1" thickBot="1" x14ac:dyDescent="0.3">
      <c r="A45" s="115"/>
      <c r="B45" s="122"/>
      <c r="C45" s="117"/>
      <c r="D45" s="130"/>
      <c r="E45" s="119"/>
      <c r="F45" s="119"/>
      <c r="G45" s="119"/>
      <c r="H45" s="119"/>
      <c r="I45" s="126"/>
      <c r="J45" s="119"/>
      <c r="K45" s="119"/>
      <c r="L45" s="119"/>
      <c r="M45" s="119"/>
      <c r="N45" s="119"/>
      <c r="O45" s="126"/>
      <c r="P45" s="126"/>
      <c r="Q45" s="126"/>
      <c r="R45" s="126"/>
      <c r="S45" s="126"/>
      <c r="T45" s="126"/>
      <c r="U45" s="126"/>
      <c r="V45" s="120"/>
      <c r="W45" s="120"/>
      <c r="X45" s="120"/>
      <c r="Y45" s="120"/>
      <c r="Z45" s="120"/>
      <c r="AA45" s="120"/>
      <c r="AB45" s="120"/>
      <c r="AC45" s="120"/>
      <c r="AD45" s="120"/>
    </row>
    <row r="46" spans="1:30" s="121" customFormat="1" ht="37.5" customHeight="1" thickBot="1" x14ac:dyDescent="0.3">
      <c r="A46" s="115"/>
      <c r="B46" s="122"/>
      <c r="C46" s="582" t="s">
        <v>83</v>
      </c>
      <c r="D46" s="131" t="s">
        <v>84</v>
      </c>
      <c r="E46" s="132" t="s">
        <v>85</v>
      </c>
      <c r="F46" s="119"/>
      <c r="G46" s="119"/>
      <c r="H46" s="119"/>
      <c r="I46" s="126"/>
      <c r="J46" s="131" t="s">
        <v>84</v>
      </c>
      <c r="K46" s="132" t="s">
        <v>85</v>
      </c>
      <c r="L46" s="133"/>
      <c r="M46" s="133"/>
      <c r="N46" s="120"/>
      <c r="O46" s="120"/>
      <c r="P46" s="131" t="s">
        <v>84</v>
      </c>
      <c r="Q46" s="132" t="s">
        <v>85</v>
      </c>
      <c r="R46" s="120"/>
      <c r="S46" s="120"/>
      <c r="T46" s="120"/>
      <c r="U46" s="120"/>
      <c r="V46" s="131" t="s">
        <v>84</v>
      </c>
      <c r="W46" s="132" t="s">
        <v>85</v>
      </c>
      <c r="X46" s="120"/>
      <c r="Y46" s="120"/>
      <c r="Z46" s="120"/>
      <c r="AA46" s="120"/>
      <c r="AB46" s="120"/>
      <c r="AC46" s="120"/>
      <c r="AD46" s="120"/>
    </row>
    <row r="47" spans="1:30" ht="15.75" thickBot="1" x14ac:dyDescent="0.3">
      <c r="A47" s="1"/>
      <c r="B47" s="134"/>
      <c r="C47" s="584"/>
      <c r="D47" s="127">
        <v>0</v>
      </c>
      <c r="E47" s="135">
        <v>0</v>
      </c>
      <c r="F47" s="119"/>
      <c r="G47" s="119"/>
      <c r="H47" s="119"/>
      <c r="I47" s="126"/>
      <c r="J47" s="127">
        <v>0</v>
      </c>
      <c r="K47" s="135">
        <v>0</v>
      </c>
      <c r="L47" s="136"/>
      <c r="M47" s="136"/>
      <c r="N47" s="3"/>
      <c r="O47" s="3"/>
      <c r="P47" s="127">
        <v>0</v>
      </c>
      <c r="Q47" s="135">
        <v>0</v>
      </c>
      <c r="R47" s="3"/>
      <c r="S47" s="3"/>
      <c r="T47" s="3"/>
      <c r="U47" s="3"/>
      <c r="V47" s="127">
        <v>0</v>
      </c>
      <c r="W47" s="135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34"/>
      <c r="C48" s="117"/>
      <c r="D48" s="119"/>
      <c r="E48" s="119"/>
      <c r="F48" s="119"/>
      <c r="G48" s="119"/>
      <c r="H48" s="119"/>
      <c r="I48" s="126"/>
      <c r="J48" s="119"/>
      <c r="K48" s="119"/>
      <c r="L48" s="119"/>
      <c r="M48" s="119"/>
      <c r="N48" s="119"/>
      <c r="O48" s="126"/>
      <c r="P48" s="126"/>
      <c r="Q48" s="126"/>
      <c r="R48" s="126"/>
      <c r="S48" s="126"/>
      <c r="T48" s="126"/>
      <c r="U48" s="126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34"/>
      <c r="C49" s="137" t="s">
        <v>86</v>
      </c>
      <c r="D49" s="138" t="s">
        <v>87</v>
      </c>
      <c r="E49" s="138" t="s">
        <v>88</v>
      </c>
      <c r="F49" s="138" t="s">
        <v>89</v>
      </c>
      <c r="G49" s="138" t="s">
        <v>90</v>
      </c>
      <c r="H49" s="119"/>
      <c r="I49" s="3"/>
      <c r="J49" s="138" t="s">
        <v>87</v>
      </c>
      <c r="K49" s="138" t="s">
        <v>88</v>
      </c>
      <c r="L49" s="138" t="s">
        <v>89</v>
      </c>
      <c r="M49" s="138" t="s">
        <v>91</v>
      </c>
      <c r="N49" s="3"/>
      <c r="O49" s="3"/>
      <c r="P49" s="138" t="s">
        <v>87</v>
      </c>
      <c r="Q49" s="138" t="s">
        <v>88</v>
      </c>
      <c r="R49" s="138" t="s">
        <v>89</v>
      </c>
      <c r="S49" s="138" t="s">
        <v>91</v>
      </c>
      <c r="T49" s="3"/>
      <c r="U49" s="3"/>
      <c r="V49" s="138" t="s">
        <v>92</v>
      </c>
      <c r="W49" s="138" t="s">
        <v>88</v>
      </c>
      <c r="X49" s="138" t="s">
        <v>89</v>
      </c>
      <c r="Y49" s="138" t="s">
        <v>91</v>
      </c>
      <c r="Z49" s="3"/>
      <c r="AA49" s="3"/>
      <c r="AB49" s="3"/>
      <c r="AC49" s="3"/>
      <c r="AD49" s="3"/>
    </row>
    <row r="50" spans="1:30" x14ac:dyDescent="0.25">
      <c r="A50" s="1"/>
      <c r="B50" s="134"/>
      <c r="C50" s="139" t="s">
        <v>93</v>
      </c>
      <c r="D50" s="140"/>
      <c r="E50" s="140"/>
      <c r="F50" s="140"/>
      <c r="G50" s="141">
        <f>D50+E50-F50</f>
        <v>0</v>
      </c>
      <c r="H50" s="119"/>
      <c r="I50" s="3"/>
      <c r="J50" s="141"/>
      <c r="K50" s="140"/>
      <c r="L50" s="140"/>
      <c r="M50" s="141">
        <f>J50+K50-L50</f>
        <v>0</v>
      </c>
      <c r="N50" s="3"/>
      <c r="O50" s="3"/>
      <c r="P50" s="140"/>
      <c r="Q50" s="140"/>
      <c r="R50" s="140"/>
      <c r="S50" s="141">
        <f>P50+Q50-R50</f>
        <v>0</v>
      </c>
      <c r="T50" s="3"/>
      <c r="U50" s="3"/>
      <c r="V50" s="140"/>
      <c r="W50" s="140"/>
      <c r="X50" s="140"/>
      <c r="Y50" s="141">
        <f>V50+W50-X50</f>
        <v>0</v>
      </c>
      <c r="Z50" s="3"/>
      <c r="AA50" s="3"/>
      <c r="AB50" s="3"/>
      <c r="AC50" s="3"/>
      <c r="AD50" s="3"/>
    </row>
    <row r="51" spans="1:30" x14ac:dyDescent="0.25">
      <c r="A51" s="1"/>
      <c r="B51" s="134"/>
      <c r="C51" s="139" t="s">
        <v>94</v>
      </c>
      <c r="D51" s="140">
        <v>2331.1</v>
      </c>
      <c r="E51" s="140">
        <v>596.29999999999995</v>
      </c>
      <c r="F51" s="140">
        <v>0</v>
      </c>
      <c r="G51" s="141">
        <f t="shared" ref="G51:G54" si="22">D51+E51-F51</f>
        <v>2927.3999999999996</v>
      </c>
      <c r="H51" s="119"/>
      <c r="I51" s="3"/>
      <c r="J51" s="140">
        <v>2927.5</v>
      </c>
      <c r="K51" s="140">
        <v>0</v>
      </c>
      <c r="L51" s="140">
        <v>0</v>
      </c>
      <c r="M51" s="141">
        <f t="shared" ref="M51:M54" si="23">J51+K51-L51</f>
        <v>2927.5</v>
      </c>
      <c r="N51" s="3"/>
      <c r="O51" s="3"/>
      <c r="P51" s="140">
        <v>2927.3999999999996</v>
      </c>
      <c r="Q51" s="140">
        <v>673.9</v>
      </c>
      <c r="R51" s="140">
        <v>130</v>
      </c>
      <c r="S51" s="141">
        <f t="shared" ref="S51:S54" si="24">P51+Q51-R51</f>
        <v>3471.2999999999997</v>
      </c>
      <c r="T51" s="3"/>
      <c r="U51" s="3"/>
      <c r="V51" s="140">
        <v>3471.3</v>
      </c>
      <c r="W51" s="140">
        <v>0</v>
      </c>
      <c r="X51" s="140">
        <v>0</v>
      </c>
      <c r="Y51" s="141">
        <f t="shared" ref="Y51:Y54" si="25">V51+W51-X51</f>
        <v>3471.3</v>
      </c>
      <c r="Z51" s="3"/>
      <c r="AA51" s="3"/>
      <c r="AB51" s="3"/>
      <c r="AC51" s="3"/>
      <c r="AD51" s="3"/>
    </row>
    <row r="52" spans="1:30" x14ac:dyDescent="0.25">
      <c r="A52" s="1"/>
      <c r="B52" s="134"/>
      <c r="C52" s="139" t="s">
        <v>95</v>
      </c>
      <c r="D52" s="140">
        <v>1224.5</v>
      </c>
      <c r="E52" s="140">
        <v>722</v>
      </c>
      <c r="F52" s="140">
        <v>305.3</v>
      </c>
      <c r="G52" s="141">
        <f t="shared" si="22"/>
        <v>1641.2</v>
      </c>
      <c r="H52" s="119"/>
      <c r="I52" s="3"/>
      <c r="J52" s="140">
        <v>1729</v>
      </c>
      <c r="K52" s="140">
        <v>761</v>
      </c>
      <c r="L52" s="140">
        <v>150</v>
      </c>
      <c r="M52" s="141">
        <f t="shared" si="23"/>
        <v>2340</v>
      </c>
      <c r="N52" s="3"/>
      <c r="O52" s="3"/>
      <c r="P52" s="140">
        <v>1641.2</v>
      </c>
      <c r="Q52" s="140">
        <v>684</v>
      </c>
      <c r="R52" s="140">
        <v>629.70000000000005</v>
      </c>
      <c r="S52" s="141">
        <f t="shared" si="24"/>
        <v>1695.4999999999998</v>
      </c>
      <c r="T52" s="3"/>
      <c r="U52" s="3"/>
      <c r="V52" s="140">
        <v>1695.5</v>
      </c>
      <c r="W52" s="140">
        <v>832</v>
      </c>
      <c r="X52" s="140">
        <v>350</v>
      </c>
      <c r="Y52" s="141">
        <f t="shared" si="25"/>
        <v>2177.5</v>
      </c>
      <c r="Z52" s="3"/>
      <c r="AA52" s="3"/>
      <c r="AB52" s="3"/>
      <c r="AC52" s="3"/>
      <c r="AD52" s="3"/>
    </row>
    <row r="53" spans="1:30" x14ac:dyDescent="0.25">
      <c r="A53" s="1"/>
      <c r="B53" s="134"/>
      <c r="C53" s="139" t="s">
        <v>96</v>
      </c>
      <c r="D53" s="140">
        <v>662.6</v>
      </c>
      <c r="E53" s="140">
        <v>140</v>
      </c>
      <c r="F53" s="140">
        <v>250</v>
      </c>
      <c r="G53" s="141">
        <f t="shared" si="22"/>
        <v>552.6</v>
      </c>
      <c r="H53" s="119"/>
      <c r="I53" s="3"/>
      <c r="J53" s="140">
        <v>802.6</v>
      </c>
      <c r="K53" s="140">
        <v>0</v>
      </c>
      <c r="L53" s="140">
        <v>300</v>
      </c>
      <c r="M53" s="141">
        <f t="shared" si="23"/>
        <v>502.6</v>
      </c>
      <c r="N53" s="3"/>
      <c r="O53" s="3"/>
      <c r="P53" s="140">
        <v>552.6</v>
      </c>
      <c r="Q53" s="140">
        <v>165</v>
      </c>
      <c r="R53" s="140">
        <v>300</v>
      </c>
      <c r="S53" s="141">
        <f t="shared" si="24"/>
        <v>417.6</v>
      </c>
      <c r="T53" s="3"/>
      <c r="U53" s="3"/>
      <c r="V53" s="140">
        <v>417.6</v>
      </c>
      <c r="W53" s="140">
        <v>0</v>
      </c>
      <c r="X53" s="140">
        <v>200</v>
      </c>
      <c r="Y53" s="141">
        <f t="shared" si="25"/>
        <v>217.60000000000002</v>
      </c>
      <c r="Z53" s="3"/>
      <c r="AA53" s="3"/>
      <c r="AB53" s="3"/>
      <c r="AC53" s="3"/>
      <c r="AD53" s="3"/>
    </row>
    <row r="54" spans="1:30" x14ac:dyDescent="0.25">
      <c r="A54" s="1"/>
      <c r="B54" s="134"/>
      <c r="C54" s="142" t="s">
        <v>97</v>
      </c>
      <c r="D54" s="140">
        <v>331</v>
      </c>
      <c r="E54" s="140">
        <v>157</v>
      </c>
      <c r="F54" s="140">
        <v>201.7</v>
      </c>
      <c r="G54" s="141">
        <f t="shared" si="22"/>
        <v>286.3</v>
      </c>
      <c r="H54" s="119"/>
      <c r="I54" s="3"/>
      <c r="J54" s="140">
        <v>239</v>
      </c>
      <c r="K54" s="140">
        <v>163</v>
      </c>
      <c r="L54" s="140">
        <v>320</v>
      </c>
      <c r="M54" s="141">
        <f t="shared" si="23"/>
        <v>82</v>
      </c>
      <c r="N54" s="3"/>
      <c r="O54" s="3"/>
      <c r="P54" s="140">
        <v>286.3</v>
      </c>
      <c r="Q54" s="140">
        <v>146</v>
      </c>
      <c r="R54" s="140">
        <v>176</v>
      </c>
      <c r="S54" s="141">
        <f t="shared" si="24"/>
        <v>256.3</v>
      </c>
      <c r="T54" s="3"/>
      <c r="U54" s="3"/>
      <c r="V54" s="140">
        <v>256.3</v>
      </c>
      <c r="W54" s="140">
        <v>156</v>
      </c>
      <c r="X54" s="140">
        <v>180</v>
      </c>
      <c r="Y54" s="141">
        <f t="shared" si="25"/>
        <v>232.3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34"/>
      <c r="C55" s="117"/>
      <c r="D55" s="119"/>
      <c r="E55" s="119"/>
      <c r="F55" s="119"/>
      <c r="G55" s="119"/>
      <c r="H55" s="11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34"/>
      <c r="C56" s="137" t="s">
        <v>98</v>
      </c>
      <c r="D56" s="138" t="s">
        <v>99</v>
      </c>
      <c r="E56" s="138" t="s">
        <v>100</v>
      </c>
      <c r="F56" s="119"/>
      <c r="G56" s="119"/>
      <c r="H56" s="119"/>
      <c r="I56" s="126"/>
      <c r="J56" s="138" t="s">
        <v>101</v>
      </c>
      <c r="K56" s="119"/>
      <c r="L56" s="119"/>
      <c r="M56" s="119"/>
      <c r="N56" s="119"/>
      <c r="O56" s="126"/>
      <c r="P56" s="138" t="s">
        <v>102</v>
      </c>
      <c r="Q56" s="126"/>
      <c r="R56" s="126"/>
      <c r="S56" s="126"/>
      <c r="T56" s="126"/>
      <c r="U56" s="126"/>
      <c r="V56" s="138" t="s">
        <v>101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34"/>
      <c r="C57" s="139"/>
      <c r="D57" s="143">
        <v>34.04</v>
      </c>
      <c r="E57" s="143">
        <v>32.68</v>
      </c>
      <c r="F57" s="119"/>
      <c r="G57" s="119"/>
      <c r="H57" s="119"/>
      <c r="I57" s="126"/>
      <c r="J57" s="143">
        <v>34</v>
      </c>
      <c r="K57" s="119"/>
      <c r="L57" s="119"/>
      <c r="M57" s="119"/>
      <c r="N57" s="119"/>
      <c r="O57" s="126"/>
      <c r="P57" s="143">
        <v>31.75</v>
      </c>
      <c r="Q57" s="126"/>
      <c r="R57" s="126"/>
      <c r="S57" s="126"/>
      <c r="T57" s="126"/>
      <c r="U57" s="126"/>
      <c r="V57" s="143">
        <v>31.75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34"/>
      <c r="C58" s="117"/>
      <c r="D58" s="119"/>
      <c r="E58" s="119"/>
      <c r="F58" s="119"/>
      <c r="G58" s="119"/>
      <c r="H58" s="119"/>
      <c r="I58" s="126"/>
      <c r="J58" s="119"/>
      <c r="K58" s="119"/>
      <c r="L58" s="119"/>
      <c r="M58" s="119"/>
      <c r="N58" s="119"/>
      <c r="O58" s="126"/>
      <c r="P58" s="126"/>
      <c r="Q58" s="126"/>
      <c r="R58" s="126"/>
      <c r="S58" s="126"/>
      <c r="T58" s="126"/>
      <c r="U58" s="126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44" t="s">
        <v>103</v>
      </c>
      <c r="C59" s="145"/>
      <c r="D59" s="585"/>
      <c r="E59" s="585"/>
      <c r="F59" s="585"/>
      <c r="G59" s="585"/>
      <c r="H59" s="585"/>
      <c r="I59" s="585"/>
      <c r="J59" s="585"/>
      <c r="K59" s="585"/>
      <c r="L59" s="585"/>
      <c r="M59" s="585"/>
      <c r="N59" s="585"/>
      <c r="O59" s="585"/>
      <c r="P59" s="585"/>
      <c r="Q59" s="585"/>
      <c r="R59" s="585"/>
      <c r="S59" s="585"/>
      <c r="T59" s="585"/>
      <c r="U59" s="585"/>
      <c r="V59" s="146"/>
      <c r="W59" s="146"/>
      <c r="X59" s="146"/>
      <c r="Y59" s="146"/>
      <c r="Z59" s="146"/>
      <c r="AA59" s="146"/>
      <c r="AB59" s="147"/>
      <c r="AC59" s="3"/>
      <c r="AD59" s="3"/>
    </row>
    <row r="60" spans="1:30" x14ac:dyDescent="0.25">
      <c r="A60" s="1"/>
      <c r="B60" s="148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49"/>
      <c r="AC60" s="3"/>
      <c r="AD60" s="3"/>
    </row>
    <row r="61" spans="1:30" x14ac:dyDescent="0.25">
      <c r="A61" s="1"/>
      <c r="B61" s="575"/>
      <c r="C61" s="576"/>
      <c r="D61" s="576"/>
      <c r="E61" s="576"/>
      <c r="F61" s="576"/>
      <c r="G61" s="576"/>
      <c r="H61" s="576"/>
      <c r="I61" s="576"/>
      <c r="J61" s="576"/>
      <c r="K61" s="576"/>
      <c r="L61" s="576"/>
      <c r="M61" s="576"/>
      <c r="N61" s="576"/>
      <c r="O61" s="576"/>
      <c r="P61" s="576"/>
      <c r="Q61" s="576"/>
      <c r="R61" s="576"/>
      <c r="S61" s="576"/>
      <c r="T61" s="576"/>
      <c r="U61" s="576"/>
      <c r="V61" s="121"/>
      <c r="W61" s="121"/>
      <c r="X61" s="121"/>
      <c r="Y61" s="121"/>
      <c r="Z61" s="121"/>
      <c r="AA61" s="121"/>
      <c r="AB61" s="149"/>
      <c r="AC61" s="3"/>
      <c r="AD61" s="3"/>
    </row>
    <row r="62" spans="1:30" x14ac:dyDescent="0.25">
      <c r="A62" s="1"/>
      <c r="B62" s="575"/>
      <c r="C62" s="576"/>
      <c r="D62" s="576"/>
      <c r="E62" s="576"/>
      <c r="F62" s="576"/>
      <c r="G62" s="576"/>
      <c r="H62" s="576"/>
      <c r="I62" s="576"/>
      <c r="J62" s="576"/>
      <c r="K62" s="576"/>
      <c r="L62" s="576"/>
      <c r="M62" s="576"/>
      <c r="N62" s="576"/>
      <c r="O62" s="576"/>
      <c r="P62" s="576"/>
      <c r="Q62" s="576"/>
      <c r="R62" s="576"/>
      <c r="S62" s="576"/>
      <c r="T62" s="576"/>
      <c r="U62" s="576"/>
      <c r="V62" s="121"/>
      <c r="W62" s="121"/>
      <c r="X62" s="121"/>
      <c r="Y62" s="121"/>
      <c r="Z62" s="121"/>
      <c r="AA62" s="121"/>
      <c r="AB62" s="149"/>
      <c r="AC62" s="3"/>
      <c r="AD62" s="3"/>
    </row>
    <row r="63" spans="1:30" x14ac:dyDescent="0.25">
      <c r="A63" s="1"/>
      <c r="B63" s="575"/>
      <c r="C63" s="576"/>
      <c r="D63" s="576"/>
      <c r="E63" s="576"/>
      <c r="F63" s="576"/>
      <c r="G63" s="576"/>
      <c r="H63" s="576"/>
      <c r="I63" s="576"/>
      <c r="J63" s="576"/>
      <c r="K63" s="576"/>
      <c r="L63" s="576"/>
      <c r="M63" s="576"/>
      <c r="N63" s="576"/>
      <c r="O63" s="576"/>
      <c r="P63" s="576"/>
      <c r="Q63" s="576"/>
      <c r="R63" s="576"/>
      <c r="S63" s="576"/>
      <c r="T63" s="576"/>
      <c r="U63" s="576"/>
      <c r="V63" s="121"/>
      <c r="W63" s="121"/>
      <c r="X63" s="121"/>
      <c r="Y63" s="121"/>
      <c r="Z63" s="121"/>
      <c r="AA63" s="121"/>
      <c r="AB63" s="149"/>
      <c r="AC63" s="3"/>
      <c r="AD63" s="3"/>
    </row>
    <row r="64" spans="1:30" x14ac:dyDescent="0.25">
      <c r="A64" s="1"/>
      <c r="B64" s="150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21"/>
      <c r="W64" s="121"/>
      <c r="X64" s="121"/>
      <c r="Y64" s="121"/>
      <c r="Z64" s="121"/>
      <c r="AA64" s="121"/>
      <c r="AB64" s="149"/>
      <c r="AC64" s="3"/>
      <c r="AD64" s="3"/>
    </row>
    <row r="65" spans="1:30" x14ac:dyDescent="0.25">
      <c r="A65" s="1"/>
      <c r="B65" s="150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21"/>
      <c r="W65" s="121"/>
      <c r="X65" s="121"/>
      <c r="Y65" s="121"/>
      <c r="Z65" s="121"/>
      <c r="AA65" s="121"/>
      <c r="AB65" s="149"/>
      <c r="AC65" s="3"/>
      <c r="AD65" s="3"/>
    </row>
    <row r="66" spans="1:30" x14ac:dyDescent="0.25">
      <c r="A66" s="1"/>
      <c r="B66" s="150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21"/>
      <c r="W66" s="121"/>
      <c r="X66" s="121"/>
      <c r="Y66" s="121"/>
      <c r="Z66" s="121"/>
      <c r="AA66" s="121"/>
      <c r="AB66" s="149"/>
      <c r="AC66" s="3"/>
      <c r="AD66" s="3"/>
    </row>
    <row r="67" spans="1:30" x14ac:dyDescent="0.25">
      <c r="A67" s="1"/>
      <c r="B67" s="150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21"/>
      <c r="W67" s="121"/>
      <c r="X67" s="121"/>
      <c r="Y67" s="121"/>
      <c r="Z67" s="121"/>
      <c r="AA67" s="121"/>
      <c r="AB67" s="149"/>
      <c r="AC67" s="3"/>
      <c r="AD67" s="3"/>
    </row>
    <row r="68" spans="1:30" x14ac:dyDescent="0.25">
      <c r="A68" s="1"/>
      <c r="B68" s="150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21"/>
      <c r="W68" s="121"/>
      <c r="X68" s="121"/>
      <c r="Y68" s="121"/>
      <c r="Z68" s="121"/>
      <c r="AA68" s="121"/>
      <c r="AB68" s="149"/>
      <c r="AC68" s="3"/>
      <c r="AD68" s="3"/>
    </row>
    <row r="69" spans="1:30" x14ac:dyDescent="0.25">
      <c r="A69" s="1"/>
      <c r="B69" s="150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21"/>
      <c r="W69" s="121"/>
      <c r="X69" s="121"/>
      <c r="Y69" s="121"/>
      <c r="Z69" s="121"/>
      <c r="AA69" s="121"/>
      <c r="AB69" s="149"/>
      <c r="AC69" s="3"/>
      <c r="AD69" s="3"/>
    </row>
    <row r="70" spans="1:30" x14ac:dyDescent="0.25">
      <c r="A70" s="1"/>
      <c r="B70" s="150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21"/>
      <c r="W70" s="121"/>
      <c r="X70" s="121"/>
      <c r="Y70" s="121"/>
      <c r="Z70" s="121"/>
      <c r="AA70" s="121"/>
      <c r="AB70" s="149"/>
      <c r="AC70" s="3"/>
      <c r="AD70" s="3"/>
    </row>
    <row r="71" spans="1:30" x14ac:dyDescent="0.25">
      <c r="A71" s="1"/>
      <c r="B71" s="150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21"/>
      <c r="W71" s="121"/>
      <c r="X71" s="121"/>
      <c r="Y71" s="121"/>
      <c r="Z71" s="121"/>
      <c r="AA71" s="121"/>
      <c r="AB71" s="149"/>
      <c r="AC71" s="3"/>
      <c r="AD71" s="3"/>
    </row>
    <row r="72" spans="1:30" x14ac:dyDescent="0.25">
      <c r="A72" s="1"/>
      <c r="B72" s="150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21"/>
      <c r="W72" s="121"/>
      <c r="X72" s="121"/>
      <c r="Y72" s="121"/>
      <c r="Z72" s="121"/>
      <c r="AA72" s="121"/>
      <c r="AB72" s="149"/>
      <c r="AC72" s="3"/>
      <c r="AD72" s="3"/>
    </row>
    <row r="73" spans="1:30" x14ac:dyDescent="0.25">
      <c r="A73" s="1"/>
      <c r="B73" s="150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21"/>
      <c r="W73" s="121"/>
      <c r="X73" s="121"/>
      <c r="Y73" s="121"/>
      <c r="Z73" s="121"/>
      <c r="AA73" s="121"/>
      <c r="AB73" s="149"/>
      <c r="AC73" s="3"/>
      <c r="AD73" s="3"/>
    </row>
    <row r="74" spans="1:30" x14ac:dyDescent="0.25">
      <c r="A74" s="1"/>
      <c r="B74" s="150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21"/>
      <c r="W74" s="121"/>
      <c r="X74" s="121"/>
      <c r="Y74" s="121"/>
      <c r="Z74" s="121"/>
      <c r="AA74" s="121"/>
      <c r="AB74" s="149"/>
      <c r="AC74" s="3"/>
      <c r="AD74" s="3"/>
    </row>
    <row r="75" spans="1:30" x14ac:dyDescent="0.25">
      <c r="A75" s="1"/>
      <c r="B75" s="150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21"/>
      <c r="W75" s="121"/>
      <c r="X75" s="121"/>
      <c r="Y75" s="121"/>
      <c r="Z75" s="121"/>
      <c r="AA75" s="121"/>
      <c r="AB75" s="149"/>
      <c r="AC75" s="3"/>
      <c r="AD75" s="3"/>
    </row>
    <row r="76" spans="1:30" x14ac:dyDescent="0.25">
      <c r="A76" s="1"/>
      <c r="B76" s="150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21"/>
      <c r="W76" s="121"/>
      <c r="X76" s="121"/>
      <c r="Y76" s="121"/>
      <c r="Z76" s="121"/>
      <c r="AA76" s="121"/>
      <c r="AB76" s="149"/>
      <c r="AC76" s="3"/>
      <c r="AD76" s="3"/>
    </row>
    <row r="77" spans="1:30" x14ac:dyDescent="0.25">
      <c r="A77" s="1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21"/>
      <c r="W77" s="121"/>
      <c r="X77" s="121"/>
      <c r="Y77" s="121"/>
      <c r="Z77" s="121"/>
      <c r="AA77" s="121"/>
      <c r="AB77" s="149"/>
      <c r="AC77" s="3"/>
      <c r="AD77" s="3"/>
    </row>
    <row r="78" spans="1:30" x14ac:dyDescent="0.25">
      <c r="A78" s="1"/>
      <c r="B78" s="150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21"/>
      <c r="W78" s="121"/>
      <c r="X78" s="121"/>
      <c r="Y78" s="121"/>
      <c r="Z78" s="121"/>
      <c r="AA78" s="121"/>
      <c r="AB78" s="149"/>
      <c r="AC78" s="3"/>
      <c r="AD78" s="3"/>
    </row>
    <row r="79" spans="1:30" x14ac:dyDescent="0.25">
      <c r="A79" s="1"/>
      <c r="B79" s="150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21"/>
      <c r="W79" s="121"/>
      <c r="X79" s="121"/>
      <c r="Y79" s="121"/>
      <c r="Z79" s="121"/>
      <c r="AA79" s="121"/>
      <c r="AB79" s="149"/>
      <c r="AC79" s="3"/>
      <c r="AD79" s="3"/>
    </row>
    <row r="80" spans="1:30" x14ac:dyDescent="0.25">
      <c r="A80" s="1"/>
      <c r="B80" s="150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21"/>
      <c r="W80" s="121"/>
      <c r="X80" s="121"/>
      <c r="Y80" s="121"/>
      <c r="Z80" s="121"/>
      <c r="AA80" s="121"/>
      <c r="AB80" s="149"/>
      <c r="AC80" s="3"/>
      <c r="AD80" s="3"/>
    </row>
    <row r="81" spans="1:30" x14ac:dyDescent="0.25">
      <c r="A81" s="1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21"/>
      <c r="W81" s="121"/>
      <c r="X81" s="121"/>
      <c r="Y81" s="121"/>
      <c r="Z81" s="121"/>
      <c r="AA81" s="121"/>
      <c r="AB81" s="149"/>
      <c r="AC81" s="3"/>
      <c r="AD81" s="3"/>
    </row>
    <row r="82" spans="1:30" x14ac:dyDescent="0.25">
      <c r="A82" s="1"/>
      <c r="B82" s="575"/>
      <c r="C82" s="576"/>
      <c r="D82" s="576"/>
      <c r="E82" s="576"/>
      <c r="F82" s="576"/>
      <c r="G82" s="576"/>
      <c r="H82" s="576"/>
      <c r="I82" s="576"/>
      <c r="J82" s="576"/>
      <c r="K82" s="576"/>
      <c r="L82" s="576"/>
      <c r="M82" s="576"/>
      <c r="N82" s="576"/>
      <c r="O82" s="576"/>
      <c r="P82" s="576"/>
      <c r="Q82" s="576"/>
      <c r="R82" s="576"/>
      <c r="S82" s="576"/>
      <c r="T82" s="576"/>
      <c r="U82" s="576"/>
      <c r="V82" s="121"/>
      <c r="W82" s="121"/>
      <c r="X82" s="121"/>
      <c r="Y82" s="121"/>
      <c r="Z82" s="121"/>
      <c r="AA82" s="121"/>
      <c r="AB82" s="149"/>
      <c r="AC82" s="3"/>
      <c r="AD82" s="3"/>
    </row>
    <row r="83" spans="1:30" x14ac:dyDescent="0.25">
      <c r="A83" s="1"/>
      <c r="B83" s="152"/>
      <c r="C83" s="153"/>
      <c r="D83" s="153"/>
      <c r="E83" s="153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21"/>
      <c r="W83" s="121"/>
      <c r="X83" s="121"/>
      <c r="Y83" s="121"/>
      <c r="Z83" s="121"/>
      <c r="AA83" s="121"/>
      <c r="AB83" s="149"/>
      <c r="AC83" s="3"/>
      <c r="AD83" s="3"/>
    </row>
    <row r="84" spans="1:30" x14ac:dyDescent="0.25">
      <c r="A84" s="1"/>
      <c r="B84" s="154"/>
      <c r="C84" s="155"/>
      <c r="D84" s="156"/>
      <c r="E84" s="156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21"/>
      <c r="W84" s="121"/>
      <c r="X84" s="121"/>
      <c r="Y84" s="121"/>
      <c r="Z84" s="121"/>
      <c r="AA84" s="121"/>
      <c r="AB84" s="149"/>
      <c r="AC84" s="3"/>
      <c r="AD84" s="3"/>
    </row>
    <row r="85" spans="1:30" x14ac:dyDescent="0.25">
      <c r="A85" s="1"/>
      <c r="B85" s="152"/>
      <c r="C85" s="157"/>
      <c r="D85" s="156"/>
      <c r="E85" s="156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21"/>
      <c r="W85" s="121"/>
      <c r="X85" s="121"/>
      <c r="Y85" s="121"/>
      <c r="Z85" s="121"/>
      <c r="AA85" s="121"/>
      <c r="AB85" s="149"/>
      <c r="AC85" s="3"/>
      <c r="AD85" s="3"/>
    </row>
    <row r="86" spans="1:30" x14ac:dyDescent="0.25">
      <c r="A86" s="1"/>
      <c r="B86" s="152"/>
      <c r="C86" s="157"/>
      <c r="D86" s="156"/>
      <c r="E86" s="156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21"/>
      <c r="W86" s="121"/>
      <c r="X86" s="121"/>
      <c r="Y86" s="121"/>
      <c r="Z86" s="121"/>
      <c r="AA86" s="121"/>
      <c r="AB86" s="149"/>
      <c r="AC86" s="3"/>
      <c r="AD86" s="3"/>
    </row>
    <row r="87" spans="1:30" x14ac:dyDescent="0.25">
      <c r="A87" s="1"/>
      <c r="B87" s="158"/>
      <c r="C87" s="159"/>
      <c r="D87" s="160"/>
      <c r="E87" s="160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2"/>
      <c r="W87" s="162"/>
      <c r="X87" s="162"/>
      <c r="Y87" s="162"/>
      <c r="Z87" s="162"/>
      <c r="AA87" s="162"/>
      <c r="AB87" s="163"/>
      <c r="AC87" s="3"/>
      <c r="AD87" s="3"/>
    </row>
    <row r="88" spans="1:30" x14ac:dyDescent="0.25">
      <c r="A88" s="115"/>
      <c r="B88" s="164"/>
      <c r="C88" s="165"/>
      <c r="D88" s="164"/>
      <c r="E88" s="164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15"/>
      <c r="B89" s="164"/>
      <c r="C89" s="165"/>
      <c r="D89" s="164"/>
      <c r="E89" s="164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167" t="s">
        <v>104</v>
      </c>
      <c r="C91" s="168">
        <v>45887</v>
      </c>
      <c r="D91" s="167" t="s">
        <v>105</v>
      </c>
      <c r="E91" s="576" t="s">
        <v>106</v>
      </c>
      <c r="F91" s="576"/>
      <c r="G91" s="576"/>
      <c r="H91" s="167"/>
      <c r="I91" s="167" t="s">
        <v>107</v>
      </c>
      <c r="J91" s="577" t="s">
        <v>108</v>
      </c>
      <c r="K91" s="577"/>
      <c r="L91" s="577"/>
      <c r="M91" s="577"/>
      <c r="N91" s="167"/>
      <c r="O91" s="167"/>
      <c r="P91" s="167"/>
      <c r="Q91" s="167"/>
      <c r="R91" s="167"/>
      <c r="S91" s="167"/>
      <c r="T91" s="167"/>
      <c r="U91" s="167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167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167"/>
      <c r="C93" s="167"/>
      <c r="D93" s="167" t="s">
        <v>109</v>
      </c>
      <c r="E93" s="169"/>
      <c r="F93" s="169"/>
      <c r="G93" s="169"/>
      <c r="H93" s="167"/>
      <c r="I93" s="167" t="s">
        <v>109</v>
      </c>
      <c r="J93" s="170"/>
      <c r="K93" s="170"/>
      <c r="L93" s="170"/>
      <c r="M93" s="170"/>
      <c r="N93" s="167"/>
      <c r="O93" s="167"/>
      <c r="P93" s="167"/>
      <c r="Q93" s="167"/>
      <c r="R93" s="167"/>
      <c r="S93" s="167"/>
      <c r="T93" s="167"/>
      <c r="U93" s="167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167"/>
      <c r="C94" s="167"/>
      <c r="D94" s="167"/>
      <c r="E94" s="169"/>
      <c r="F94" s="169"/>
      <c r="G94" s="169"/>
      <c r="H94" s="167"/>
      <c r="I94" s="167"/>
      <c r="J94" s="170"/>
      <c r="K94" s="170"/>
      <c r="L94" s="170"/>
      <c r="M94" s="170"/>
      <c r="N94" s="167"/>
      <c r="O94" s="167"/>
      <c r="P94" s="167"/>
      <c r="Q94" s="167"/>
      <c r="R94" s="167"/>
      <c r="S94" s="167"/>
      <c r="T94" s="167"/>
      <c r="U94" s="167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D4:V4"/>
    <mergeCell ref="D8:V8"/>
    <mergeCell ref="B10:B13"/>
    <mergeCell ref="C10:C13"/>
    <mergeCell ref="D10:I10"/>
    <mergeCell ref="J10:O10"/>
    <mergeCell ref="P10:U10"/>
    <mergeCell ref="V10:AA10"/>
    <mergeCell ref="G13:G14"/>
    <mergeCell ref="H13:H14"/>
    <mergeCell ref="P13:R13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13:F13"/>
    <mergeCell ref="AB25:AB27"/>
    <mergeCell ref="J26:L26"/>
    <mergeCell ref="M26:M27"/>
    <mergeCell ref="N26:N27"/>
    <mergeCell ref="O26:O27"/>
    <mergeCell ref="AA13:AA14"/>
    <mergeCell ref="D25:I25"/>
    <mergeCell ref="J25:O25"/>
    <mergeCell ref="P25:U25"/>
    <mergeCell ref="V25:AA25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61:U61"/>
    <mergeCell ref="P26:R26"/>
    <mergeCell ref="S26:S27"/>
    <mergeCell ref="T26:T27"/>
    <mergeCell ref="U26:U27"/>
    <mergeCell ref="B26:B27"/>
    <mergeCell ref="C26:C27"/>
    <mergeCell ref="D26:F26"/>
    <mergeCell ref="G26:G27"/>
    <mergeCell ref="H26:H27"/>
    <mergeCell ref="I26:I27"/>
    <mergeCell ref="Z26:Z27"/>
    <mergeCell ref="AA26:AA27"/>
    <mergeCell ref="C43:C44"/>
    <mergeCell ref="C46:C47"/>
    <mergeCell ref="D59:U59"/>
    <mergeCell ref="V26:X26"/>
    <mergeCell ref="Y26:Y27"/>
    <mergeCell ref="B62:U62"/>
    <mergeCell ref="B63:U63"/>
    <mergeCell ref="B82:U82"/>
    <mergeCell ref="E91:G91"/>
    <mergeCell ref="J91:M91"/>
  </mergeCells>
  <conditionalFormatting sqref="AB15:AB25">
    <cfRule type="cellIs" dxfId="45" priority="3" operator="equal">
      <formula>0</formula>
    </cfRule>
    <cfRule type="containsErrors" dxfId="44" priority="4">
      <formula>ISERROR(AB15)</formula>
    </cfRule>
  </conditionalFormatting>
  <conditionalFormatting sqref="AB28:AB41">
    <cfRule type="cellIs" dxfId="43" priority="1" operator="equal">
      <formula>0</formula>
    </cfRule>
    <cfRule type="containsErrors" dxfId="42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rgb="FFFF0000"/>
    <pageSetUpPr fitToPage="1"/>
  </sheetPr>
  <dimension ref="A1:AD133"/>
  <sheetViews>
    <sheetView showGridLines="0" zoomScale="70" zoomScaleNormal="70" zoomScaleSheetLayoutView="80" workbookViewId="0">
      <selection activeCell="C99" sqref="C9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327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17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7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7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1</v>
      </c>
      <c r="C4" s="3"/>
      <c r="D4" s="690" t="s">
        <v>254</v>
      </c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7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ht="15.75" x14ac:dyDescent="0.25">
      <c r="A6" s="3"/>
      <c r="B6" s="3" t="s">
        <v>3</v>
      </c>
      <c r="C6" s="3"/>
      <c r="D6" s="480">
        <v>72744341</v>
      </c>
      <c r="E6" s="3"/>
      <c r="F6" s="3"/>
      <c r="G6" s="3"/>
      <c r="H6" s="3"/>
      <c r="I6" s="3"/>
      <c r="J6" s="3"/>
      <c r="K6" s="3"/>
      <c r="L6" s="3"/>
      <c r="M6" s="17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175"/>
      <c r="E7" s="3"/>
      <c r="F7" s="3"/>
      <c r="G7" s="3"/>
      <c r="H7" s="3"/>
      <c r="I7" s="3"/>
      <c r="J7" s="3"/>
      <c r="K7" s="3"/>
      <c r="L7" s="3"/>
      <c r="M7" s="17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5</v>
      </c>
      <c r="C8" s="3"/>
      <c r="D8" s="691" t="s">
        <v>255</v>
      </c>
      <c r="E8" s="691"/>
      <c r="F8" s="691"/>
      <c r="G8" s="691"/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691"/>
      <c r="T8" s="691"/>
      <c r="U8" s="691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7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692" t="s">
        <v>7</v>
      </c>
      <c r="C10" s="651" t="s">
        <v>8</v>
      </c>
      <c r="D10" s="678" t="s">
        <v>9</v>
      </c>
      <c r="E10" s="679"/>
      <c r="F10" s="679"/>
      <c r="G10" s="679"/>
      <c r="H10" s="679"/>
      <c r="I10" s="680"/>
      <c r="J10" s="678" t="s">
        <v>166</v>
      </c>
      <c r="K10" s="679"/>
      <c r="L10" s="679"/>
      <c r="M10" s="679"/>
      <c r="N10" s="679"/>
      <c r="O10" s="680"/>
      <c r="P10" s="678" t="s">
        <v>11</v>
      </c>
      <c r="Q10" s="679"/>
      <c r="R10" s="679"/>
      <c r="S10" s="679"/>
      <c r="T10" s="679"/>
      <c r="U10" s="680"/>
      <c r="V10" s="678" t="s">
        <v>12</v>
      </c>
      <c r="W10" s="679"/>
      <c r="X10" s="679"/>
      <c r="Y10" s="679"/>
      <c r="Z10" s="679"/>
      <c r="AA10" s="680"/>
      <c r="AB10" s="681" t="s">
        <v>13</v>
      </c>
      <c r="AC10" s="3"/>
      <c r="AD10" s="3"/>
    </row>
    <row r="11" spans="1:30" ht="30.75" customHeight="1" thickBot="1" x14ac:dyDescent="0.3">
      <c r="A11" s="3"/>
      <c r="B11" s="693"/>
      <c r="C11" s="652"/>
      <c r="D11" s="684" t="s">
        <v>14</v>
      </c>
      <c r="E11" s="685"/>
      <c r="F11" s="685"/>
      <c r="G11" s="686"/>
      <c r="H11" s="176" t="s">
        <v>15</v>
      </c>
      <c r="I11" s="176" t="s">
        <v>16</v>
      </c>
      <c r="J11" s="684" t="s">
        <v>14</v>
      </c>
      <c r="K11" s="685"/>
      <c r="L11" s="685"/>
      <c r="M11" s="686"/>
      <c r="N11" s="176" t="s">
        <v>15</v>
      </c>
      <c r="O11" s="176" t="s">
        <v>16</v>
      </c>
      <c r="P11" s="684" t="s">
        <v>14</v>
      </c>
      <c r="Q11" s="685"/>
      <c r="R11" s="685"/>
      <c r="S11" s="686"/>
      <c r="T11" s="176" t="s">
        <v>15</v>
      </c>
      <c r="U11" s="176" t="s">
        <v>16</v>
      </c>
      <c r="V11" s="684" t="s">
        <v>14</v>
      </c>
      <c r="W11" s="685"/>
      <c r="X11" s="685"/>
      <c r="Y11" s="686"/>
      <c r="Z11" s="176" t="s">
        <v>15</v>
      </c>
      <c r="AA11" s="176" t="s">
        <v>16</v>
      </c>
      <c r="AB11" s="682"/>
      <c r="AC11" s="3"/>
      <c r="AD11" s="3"/>
    </row>
    <row r="12" spans="1:30" ht="15.75" customHeight="1" thickBot="1" x14ac:dyDescent="0.3">
      <c r="A12" s="3"/>
      <c r="B12" s="693"/>
      <c r="C12" s="695"/>
      <c r="D12" s="687" t="s">
        <v>17</v>
      </c>
      <c r="E12" s="688"/>
      <c r="F12" s="688"/>
      <c r="G12" s="688"/>
      <c r="H12" s="688"/>
      <c r="I12" s="689"/>
      <c r="J12" s="687" t="s">
        <v>17</v>
      </c>
      <c r="K12" s="688"/>
      <c r="L12" s="688"/>
      <c r="M12" s="688"/>
      <c r="N12" s="688"/>
      <c r="O12" s="689"/>
      <c r="P12" s="687" t="s">
        <v>17</v>
      </c>
      <c r="Q12" s="688"/>
      <c r="R12" s="688"/>
      <c r="S12" s="688"/>
      <c r="T12" s="688"/>
      <c r="U12" s="689"/>
      <c r="V12" s="687" t="s">
        <v>17</v>
      </c>
      <c r="W12" s="688"/>
      <c r="X12" s="688"/>
      <c r="Y12" s="688"/>
      <c r="Z12" s="688"/>
      <c r="AA12" s="689"/>
      <c r="AB12" s="682"/>
      <c r="AC12" s="3"/>
      <c r="AD12" s="3"/>
    </row>
    <row r="13" spans="1:30" ht="15.75" customHeight="1" thickBot="1" x14ac:dyDescent="0.3">
      <c r="A13" s="3"/>
      <c r="B13" s="694"/>
      <c r="C13" s="696"/>
      <c r="D13" s="676" t="s">
        <v>18</v>
      </c>
      <c r="E13" s="677"/>
      <c r="F13" s="677"/>
      <c r="G13" s="647" t="s">
        <v>19</v>
      </c>
      <c r="H13" s="674" t="s">
        <v>20</v>
      </c>
      <c r="I13" s="653" t="s">
        <v>17</v>
      </c>
      <c r="J13" s="676" t="s">
        <v>18</v>
      </c>
      <c r="K13" s="677"/>
      <c r="L13" s="677"/>
      <c r="M13" s="647" t="s">
        <v>19</v>
      </c>
      <c r="N13" s="674" t="s">
        <v>20</v>
      </c>
      <c r="O13" s="653" t="s">
        <v>17</v>
      </c>
      <c r="P13" s="676" t="s">
        <v>18</v>
      </c>
      <c r="Q13" s="677"/>
      <c r="R13" s="677"/>
      <c r="S13" s="647" t="s">
        <v>19</v>
      </c>
      <c r="T13" s="674" t="s">
        <v>20</v>
      </c>
      <c r="U13" s="653" t="s">
        <v>17</v>
      </c>
      <c r="V13" s="676" t="s">
        <v>18</v>
      </c>
      <c r="W13" s="677"/>
      <c r="X13" s="677"/>
      <c r="Y13" s="647" t="s">
        <v>19</v>
      </c>
      <c r="Z13" s="674" t="s">
        <v>20</v>
      </c>
      <c r="AA13" s="653" t="s">
        <v>17</v>
      </c>
      <c r="AB13" s="682"/>
      <c r="AC13" s="3"/>
      <c r="AD13" s="3"/>
    </row>
    <row r="14" spans="1:30" ht="15.75" thickBot="1" x14ac:dyDescent="0.3">
      <c r="A14" s="3"/>
      <c r="B14" s="177"/>
      <c r="C14" s="178"/>
      <c r="D14" s="179" t="s">
        <v>21</v>
      </c>
      <c r="E14" s="180" t="s">
        <v>22</v>
      </c>
      <c r="F14" s="180" t="s">
        <v>23</v>
      </c>
      <c r="G14" s="648"/>
      <c r="H14" s="675"/>
      <c r="I14" s="654"/>
      <c r="J14" s="179" t="s">
        <v>21</v>
      </c>
      <c r="K14" s="180" t="s">
        <v>22</v>
      </c>
      <c r="L14" s="180" t="s">
        <v>23</v>
      </c>
      <c r="M14" s="648"/>
      <c r="N14" s="675"/>
      <c r="O14" s="654"/>
      <c r="P14" s="179" t="s">
        <v>21</v>
      </c>
      <c r="Q14" s="180" t="s">
        <v>22</v>
      </c>
      <c r="R14" s="180" t="s">
        <v>23</v>
      </c>
      <c r="S14" s="648"/>
      <c r="T14" s="675"/>
      <c r="U14" s="654"/>
      <c r="V14" s="179" t="s">
        <v>21</v>
      </c>
      <c r="W14" s="180" t="s">
        <v>22</v>
      </c>
      <c r="X14" s="180" t="s">
        <v>23</v>
      </c>
      <c r="Y14" s="648"/>
      <c r="Z14" s="675"/>
      <c r="AA14" s="654"/>
      <c r="AB14" s="683"/>
      <c r="AC14" s="3"/>
      <c r="AD14" s="3"/>
    </row>
    <row r="15" spans="1:30" x14ac:dyDescent="0.25">
      <c r="A15" s="3"/>
      <c r="B15" s="181" t="s">
        <v>24</v>
      </c>
      <c r="C15" s="182" t="s">
        <v>25</v>
      </c>
      <c r="D15" s="183"/>
      <c r="E15" s="184"/>
      <c r="F15" s="185">
        <v>1050.8</v>
      </c>
      <c r="G15" s="186">
        <f>SUM(D15:F15)</f>
        <v>1050.8</v>
      </c>
      <c r="H15" s="187"/>
      <c r="I15" s="188">
        <f>G15+H15</f>
        <v>1050.8</v>
      </c>
      <c r="J15" s="385"/>
      <c r="K15" s="386"/>
      <c r="L15" s="387">
        <v>1063</v>
      </c>
      <c r="M15" s="388">
        <f t="shared" ref="M15:M24" si="0">SUM(J15:L15)</f>
        <v>1063</v>
      </c>
      <c r="N15" s="389"/>
      <c r="O15" s="189">
        <f>M15+N15</f>
        <v>1063</v>
      </c>
      <c r="P15" s="183"/>
      <c r="Q15" s="184"/>
      <c r="R15" s="185">
        <v>637.79999999999995</v>
      </c>
      <c r="S15" s="186">
        <f>SUM(P15:R15)</f>
        <v>637.79999999999995</v>
      </c>
      <c r="T15" s="187"/>
      <c r="U15" s="188">
        <f>S15+T15</f>
        <v>637.79999999999995</v>
      </c>
      <c r="V15" s="183"/>
      <c r="W15" s="184"/>
      <c r="X15" s="185">
        <v>1143.2</v>
      </c>
      <c r="Y15" s="186">
        <f>SUM(V15:X15)</f>
        <v>1143.2</v>
      </c>
      <c r="Z15" s="187"/>
      <c r="AA15" s="188">
        <f>Y15+Z15</f>
        <v>1143.2</v>
      </c>
      <c r="AB15" s="190">
        <f>(AA15/O15)</f>
        <v>1.0754468485418627</v>
      </c>
      <c r="AC15" s="3"/>
      <c r="AD15" s="3"/>
    </row>
    <row r="16" spans="1:30" x14ac:dyDescent="0.25">
      <c r="A16" s="3"/>
      <c r="B16" s="191" t="s">
        <v>26</v>
      </c>
      <c r="C16" s="192" t="s">
        <v>123</v>
      </c>
      <c r="D16" s="193">
        <v>3922.4</v>
      </c>
      <c r="E16" s="194"/>
      <c r="F16" s="194"/>
      <c r="G16" s="195">
        <f t="shared" ref="G16:G24" si="1">SUM(D16:F16)</f>
        <v>3922.4</v>
      </c>
      <c r="H16" s="196"/>
      <c r="I16" s="188">
        <f t="shared" ref="I16:I24" si="2">G16+H16</f>
        <v>3922.4</v>
      </c>
      <c r="J16" s="390">
        <v>4500</v>
      </c>
      <c r="K16" s="391"/>
      <c r="L16" s="391"/>
      <c r="M16" s="392">
        <f t="shared" si="0"/>
        <v>4500</v>
      </c>
      <c r="N16" s="393"/>
      <c r="O16" s="189">
        <f t="shared" ref="O16:O21" si="3">M16+N16</f>
        <v>4500</v>
      </c>
      <c r="P16" s="193">
        <v>2250</v>
      </c>
      <c r="Q16" s="194"/>
      <c r="R16" s="194"/>
      <c r="S16" s="195">
        <f t="shared" ref="S16:S24" si="4">SUM(P16:R16)</f>
        <v>2250</v>
      </c>
      <c r="T16" s="196"/>
      <c r="U16" s="188">
        <f t="shared" ref="U16:U21" si="5">S16+T16</f>
        <v>2250</v>
      </c>
      <c r="V16" s="193">
        <v>4850</v>
      </c>
      <c r="W16" s="194"/>
      <c r="X16" s="194"/>
      <c r="Y16" s="195">
        <f t="shared" ref="Y16:Y24" si="6">SUM(V16:X16)</f>
        <v>4850</v>
      </c>
      <c r="Z16" s="196"/>
      <c r="AA16" s="188">
        <f t="shared" ref="AA16:AA21" si="7">Y16+Z16</f>
        <v>4850</v>
      </c>
      <c r="AB16" s="190">
        <f t="shared" ref="AB16:AB25" si="8">(AA16/O16)</f>
        <v>1.0777777777777777</v>
      </c>
      <c r="AC16" s="3"/>
      <c r="AD16" s="3"/>
    </row>
    <row r="17" spans="1:30" x14ac:dyDescent="0.25">
      <c r="A17" s="3"/>
      <c r="B17" s="191" t="s">
        <v>28</v>
      </c>
      <c r="C17" s="197" t="s">
        <v>124</v>
      </c>
      <c r="D17" s="29">
        <v>124</v>
      </c>
      <c r="E17" s="198"/>
      <c r="F17" s="198"/>
      <c r="G17" s="195">
        <f t="shared" si="1"/>
        <v>124</v>
      </c>
      <c r="H17" s="199"/>
      <c r="I17" s="188">
        <f t="shared" si="2"/>
        <v>124</v>
      </c>
      <c r="J17" s="342">
        <v>722.1</v>
      </c>
      <c r="K17" s="394"/>
      <c r="L17" s="394"/>
      <c r="M17" s="392">
        <f t="shared" si="0"/>
        <v>722.1</v>
      </c>
      <c r="N17" s="395"/>
      <c r="O17" s="189">
        <f t="shared" si="3"/>
        <v>722.1</v>
      </c>
      <c r="P17" s="29">
        <v>25.4</v>
      </c>
      <c r="Q17" s="198"/>
      <c r="R17" s="198"/>
      <c r="S17" s="195">
        <f t="shared" si="4"/>
        <v>25.4</v>
      </c>
      <c r="T17" s="199"/>
      <c r="U17" s="188">
        <f t="shared" si="5"/>
        <v>25.4</v>
      </c>
      <c r="V17" s="29"/>
      <c r="W17" s="198"/>
      <c r="X17" s="198"/>
      <c r="Y17" s="195">
        <f t="shared" si="6"/>
        <v>0</v>
      </c>
      <c r="Z17" s="199"/>
      <c r="AA17" s="188">
        <f t="shared" si="7"/>
        <v>0</v>
      </c>
      <c r="AB17" s="190">
        <f t="shared" si="8"/>
        <v>0</v>
      </c>
      <c r="AC17" s="3"/>
      <c r="AD17" s="3"/>
    </row>
    <row r="18" spans="1:30" x14ac:dyDescent="0.25">
      <c r="A18" s="3"/>
      <c r="B18" s="191" t="s">
        <v>125</v>
      </c>
      <c r="C18" s="465" t="s">
        <v>126</v>
      </c>
      <c r="D18" s="29">
        <v>0</v>
      </c>
      <c r="E18" s="198"/>
      <c r="F18" s="198"/>
      <c r="G18" s="195">
        <f t="shared" si="1"/>
        <v>0</v>
      </c>
      <c r="H18" s="196"/>
      <c r="I18" s="188">
        <f t="shared" si="2"/>
        <v>0</v>
      </c>
      <c r="J18" s="342">
        <v>0</v>
      </c>
      <c r="K18" s="394"/>
      <c r="L18" s="394"/>
      <c r="M18" s="392">
        <f t="shared" si="0"/>
        <v>0</v>
      </c>
      <c r="N18" s="393"/>
      <c r="O18" s="189">
        <f t="shared" si="3"/>
        <v>0</v>
      </c>
      <c r="P18" s="29">
        <v>0</v>
      </c>
      <c r="Q18" s="198"/>
      <c r="R18" s="198"/>
      <c r="S18" s="195">
        <f t="shared" si="4"/>
        <v>0</v>
      </c>
      <c r="T18" s="196"/>
      <c r="U18" s="188">
        <f t="shared" si="5"/>
        <v>0</v>
      </c>
      <c r="V18" s="29">
        <v>5988.1</v>
      </c>
      <c r="W18" s="198"/>
      <c r="X18" s="198"/>
      <c r="Y18" s="195">
        <f t="shared" si="6"/>
        <v>5988.1</v>
      </c>
      <c r="Z18" s="196"/>
      <c r="AA18" s="188">
        <f t="shared" si="7"/>
        <v>5988.1</v>
      </c>
      <c r="AB18" s="190"/>
      <c r="AC18" s="3"/>
      <c r="AD18" s="3"/>
    </row>
    <row r="19" spans="1:30" x14ac:dyDescent="0.25">
      <c r="A19" s="3"/>
      <c r="B19" s="191" t="s">
        <v>30</v>
      </c>
      <c r="C19" s="200" t="s">
        <v>31</v>
      </c>
      <c r="D19" s="201"/>
      <c r="E19" s="37">
        <v>26259.9</v>
      </c>
      <c r="F19" s="198"/>
      <c r="G19" s="195">
        <f>E19</f>
        <v>26259.9</v>
      </c>
      <c r="H19" s="187"/>
      <c r="I19" s="188">
        <f t="shared" si="2"/>
        <v>26259.9</v>
      </c>
      <c r="J19" s="396"/>
      <c r="K19" s="397">
        <v>26351.200000000001</v>
      </c>
      <c r="L19" s="394"/>
      <c r="M19" s="392">
        <f t="shared" si="0"/>
        <v>26351.200000000001</v>
      </c>
      <c r="N19" s="389"/>
      <c r="O19" s="189">
        <f t="shared" si="3"/>
        <v>26351.200000000001</v>
      </c>
      <c r="P19" s="201"/>
      <c r="Q19" s="37">
        <v>13269.6</v>
      </c>
      <c r="R19" s="198"/>
      <c r="S19" s="195">
        <f t="shared" si="4"/>
        <v>13269.6</v>
      </c>
      <c r="T19" s="187"/>
      <c r="U19" s="188">
        <f t="shared" si="5"/>
        <v>13269.6</v>
      </c>
      <c r="V19" s="201"/>
      <c r="W19" s="37">
        <v>21129.1</v>
      </c>
      <c r="X19" s="198"/>
      <c r="Y19" s="195">
        <f t="shared" si="6"/>
        <v>21129.1</v>
      </c>
      <c r="Z19" s="187"/>
      <c r="AA19" s="188">
        <f t="shared" si="7"/>
        <v>21129.1</v>
      </c>
      <c r="AB19" s="190">
        <f t="shared" si="8"/>
        <v>0.80182686177479578</v>
      </c>
      <c r="AC19" s="3"/>
      <c r="AD19" s="3"/>
    </row>
    <row r="20" spans="1:30" x14ac:dyDescent="0.25">
      <c r="A20" s="3"/>
      <c r="B20" s="191" t="s">
        <v>32</v>
      </c>
      <c r="C20" s="202" t="s">
        <v>33</v>
      </c>
      <c r="D20" s="203"/>
      <c r="E20" s="198"/>
      <c r="F20" s="37">
        <v>68.900000000000006</v>
      </c>
      <c r="G20" s="195">
        <f t="shared" si="1"/>
        <v>68.900000000000006</v>
      </c>
      <c r="H20" s="187"/>
      <c r="I20" s="188">
        <f t="shared" si="2"/>
        <v>68.900000000000006</v>
      </c>
      <c r="J20" s="398"/>
      <c r="K20" s="394"/>
      <c r="L20" s="397">
        <v>68.900000000000006</v>
      </c>
      <c r="M20" s="392">
        <f t="shared" si="0"/>
        <v>68.900000000000006</v>
      </c>
      <c r="N20" s="389"/>
      <c r="O20" s="189">
        <f t="shared" si="3"/>
        <v>68.900000000000006</v>
      </c>
      <c r="P20" s="203"/>
      <c r="Q20" s="198"/>
      <c r="R20" s="37">
        <v>34.5</v>
      </c>
      <c r="S20" s="195">
        <f t="shared" si="4"/>
        <v>34.5</v>
      </c>
      <c r="T20" s="187"/>
      <c r="U20" s="188">
        <f t="shared" si="5"/>
        <v>34.5</v>
      </c>
      <c r="V20" s="203"/>
      <c r="W20" s="198"/>
      <c r="X20" s="37">
        <v>68.900000000000006</v>
      </c>
      <c r="Y20" s="195">
        <f t="shared" si="6"/>
        <v>68.900000000000006</v>
      </c>
      <c r="Z20" s="187"/>
      <c r="AA20" s="188">
        <f t="shared" si="7"/>
        <v>68.900000000000006</v>
      </c>
      <c r="AB20" s="190">
        <f t="shared" si="8"/>
        <v>1</v>
      </c>
      <c r="AC20" s="3"/>
      <c r="AD20" s="3"/>
    </row>
    <row r="21" spans="1:30" x14ac:dyDescent="0.25">
      <c r="A21" s="3"/>
      <c r="B21" s="191" t="s">
        <v>34</v>
      </c>
      <c r="C21" s="204" t="s">
        <v>35</v>
      </c>
      <c r="D21" s="201"/>
      <c r="E21" s="194"/>
      <c r="F21" s="205">
        <v>119.7</v>
      </c>
      <c r="G21" s="195">
        <f>F21</f>
        <v>119.7</v>
      </c>
      <c r="H21" s="187"/>
      <c r="I21" s="188">
        <f t="shared" si="2"/>
        <v>119.7</v>
      </c>
      <c r="J21" s="396"/>
      <c r="K21" s="391"/>
      <c r="L21" s="399">
        <v>92</v>
      </c>
      <c r="M21" s="392">
        <f t="shared" si="0"/>
        <v>92</v>
      </c>
      <c r="N21" s="389"/>
      <c r="O21" s="189">
        <f t="shared" si="3"/>
        <v>92</v>
      </c>
      <c r="P21" s="201"/>
      <c r="Q21" s="194"/>
      <c r="R21" s="205">
        <v>20.100000000000001</v>
      </c>
      <c r="S21" s="195">
        <f t="shared" si="4"/>
        <v>20.100000000000001</v>
      </c>
      <c r="T21" s="187"/>
      <c r="U21" s="188">
        <f t="shared" si="5"/>
        <v>20.100000000000001</v>
      </c>
      <c r="V21" s="201"/>
      <c r="W21" s="194"/>
      <c r="X21" s="205">
        <v>114.3</v>
      </c>
      <c r="Y21" s="195">
        <v>114.3</v>
      </c>
      <c r="Z21" s="187"/>
      <c r="AA21" s="188">
        <f t="shared" si="7"/>
        <v>114.3</v>
      </c>
      <c r="AB21" s="190">
        <f t="shared" si="8"/>
        <v>1.2423913043478261</v>
      </c>
      <c r="AC21" s="3"/>
      <c r="AD21" s="3"/>
    </row>
    <row r="22" spans="1:30" x14ac:dyDescent="0.25">
      <c r="A22" s="3"/>
      <c r="B22" s="191" t="s">
        <v>36</v>
      </c>
      <c r="C22" s="206" t="s">
        <v>37</v>
      </c>
      <c r="D22" s="201"/>
      <c r="E22" s="194"/>
      <c r="F22" s="205">
        <v>242.6</v>
      </c>
      <c r="G22" s="195">
        <f t="shared" si="1"/>
        <v>242.6</v>
      </c>
      <c r="H22" s="207"/>
      <c r="I22" s="188">
        <f>G22+H22</f>
        <v>242.6</v>
      </c>
      <c r="J22" s="396"/>
      <c r="K22" s="391"/>
      <c r="L22" s="399">
        <v>139.1</v>
      </c>
      <c r="M22" s="392">
        <f t="shared" si="0"/>
        <v>139.1</v>
      </c>
      <c r="N22" s="400"/>
      <c r="O22" s="189">
        <f>M22+N22</f>
        <v>139.1</v>
      </c>
      <c r="P22" s="201"/>
      <c r="Q22" s="194"/>
      <c r="R22" s="205">
        <v>75.599999999999994</v>
      </c>
      <c r="S22" s="195">
        <f t="shared" si="4"/>
        <v>75.599999999999994</v>
      </c>
      <c r="T22" s="207"/>
      <c r="U22" s="188">
        <f>S22+T22</f>
        <v>75.599999999999994</v>
      </c>
      <c r="V22" s="201"/>
      <c r="W22" s="194"/>
      <c r="X22" s="205">
        <v>190.1</v>
      </c>
      <c r="Y22" s="195">
        <f>X22</f>
        <v>190.1</v>
      </c>
      <c r="Z22" s="207"/>
      <c r="AA22" s="188">
        <f>Y22+Z22</f>
        <v>190.1</v>
      </c>
      <c r="AB22" s="190">
        <f t="shared" si="8"/>
        <v>1.3666427030913013</v>
      </c>
      <c r="AC22" s="3"/>
      <c r="AD22" s="3"/>
    </row>
    <row r="23" spans="1:30" x14ac:dyDescent="0.25">
      <c r="A23" s="3"/>
      <c r="B23" s="191" t="s">
        <v>38</v>
      </c>
      <c r="C23" s="206" t="s">
        <v>39</v>
      </c>
      <c r="D23" s="201"/>
      <c r="E23" s="194"/>
      <c r="F23" s="205"/>
      <c r="G23" s="195">
        <f t="shared" si="1"/>
        <v>0</v>
      </c>
      <c r="H23" s="207"/>
      <c r="I23" s="188">
        <f t="shared" si="2"/>
        <v>0</v>
      </c>
      <c r="J23" s="396"/>
      <c r="K23" s="391"/>
      <c r="L23" s="399"/>
      <c r="M23" s="392">
        <f t="shared" si="0"/>
        <v>0</v>
      </c>
      <c r="N23" s="400"/>
      <c r="O23" s="189">
        <f t="shared" ref="O23:O24" si="9">M23+N23</f>
        <v>0</v>
      </c>
      <c r="P23" s="201"/>
      <c r="Q23" s="194"/>
      <c r="R23" s="205"/>
      <c r="S23" s="195">
        <f t="shared" si="4"/>
        <v>0</v>
      </c>
      <c r="T23" s="207"/>
      <c r="U23" s="188">
        <f t="shared" ref="U23:U24" si="10">S23+T23</f>
        <v>0</v>
      </c>
      <c r="V23" s="201"/>
      <c r="W23" s="194"/>
      <c r="X23" s="205"/>
      <c r="Y23" s="195">
        <f t="shared" si="6"/>
        <v>0</v>
      </c>
      <c r="Z23" s="207"/>
      <c r="AA23" s="188">
        <f t="shared" ref="AA23:AA24" si="11">Y23+Z23</f>
        <v>0</v>
      </c>
      <c r="AB23" s="190" t="e">
        <f t="shared" si="8"/>
        <v>#DIV/0!</v>
      </c>
      <c r="AC23" s="3"/>
      <c r="AD23" s="3"/>
    </row>
    <row r="24" spans="1:30" ht="15.75" thickBot="1" x14ac:dyDescent="0.3">
      <c r="A24" s="3"/>
      <c r="B24" s="208" t="s">
        <v>40</v>
      </c>
      <c r="C24" s="209" t="s">
        <v>41</v>
      </c>
      <c r="D24" s="210"/>
      <c r="E24" s="211"/>
      <c r="F24" s="212"/>
      <c r="G24" s="213">
        <f t="shared" si="1"/>
        <v>0</v>
      </c>
      <c r="H24" s="214"/>
      <c r="I24" s="215">
        <f t="shared" si="2"/>
        <v>0</v>
      </c>
      <c r="J24" s="401"/>
      <c r="K24" s="402"/>
      <c r="L24" s="403"/>
      <c r="M24" s="404">
        <f t="shared" si="0"/>
        <v>0</v>
      </c>
      <c r="N24" s="405"/>
      <c r="O24" s="216">
        <f t="shared" si="9"/>
        <v>0</v>
      </c>
      <c r="P24" s="210"/>
      <c r="Q24" s="211"/>
      <c r="R24" s="212"/>
      <c r="S24" s="213">
        <f t="shared" si="4"/>
        <v>0</v>
      </c>
      <c r="T24" s="214"/>
      <c r="U24" s="215">
        <f t="shared" si="10"/>
        <v>0</v>
      </c>
      <c r="V24" s="210"/>
      <c r="W24" s="211"/>
      <c r="X24" s="212"/>
      <c r="Y24" s="213">
        <f t="shared" si="6"/>
        <v>0</v>
      </c>
      <c r="Z24" s="214"/>
      <c r="AA24" s="215">
        <f t="shared" si="11"/>
        <v>0</v>
      </c>
      <c r="AB24" s="217" t="e">
        <f t="shared" si="8"/>
        <v>#DIV/0!</v>
      </c>
      <c r="AC24" s="3"/>
      <c r="AD24" s="3"/>
    </row>
    <row r="25" spans="1:30" ht="15.75" thickBot="1" x14ac:dyDescent="0.3">
      <c r="A25" s="3"/>
      <c r="B25" s="218" t="s">
        <v>42</v>
      </c>
      <c r="C25" s="219" t="s">
        <v>43</v>
      </c>
      <c r="D25" s="220">
        <f>SUM(D15:D22)</f>
        <v>4046.4</v>
      </c>
      <c r="E25" s="221">
        <f>SUM(E15:E22)</f>
        <v>26259.9</v>
      </c>
      <c r="F25" s="221">
        <f>SUM(F15:F22)</f>
        <v>1482</v>
      </c>
      <c r="G25" s="222">
        <f>SUM(D25:F25)</f>
        <v>31788.300000000003</v>
      </c>
      <c r="H25" s="223">
        <f>SUM(H15:H22)</f>
        <v>0</v>
      </c>
      <c r="I25" s="223">
        <f>SUM(I15:I22)</f>
        <v>31788.300000000003</v>
      </c>
      <c r="J25" s="224">
        <f>SUM(J15:J22)</f>
        <v>5222.1000000000004</v>
      </c>
      <c r="K25" s="225">
        <f>SUM(K15:K22)</f>
        <v>26351.200000000001</v>
      </c>
      <c r="L25" s="225">
        <f>SUM(L15:L22)</f>
        <v>1363</v>
      </c>
      <c r="M25" s="226">
        <f>SUM(J25:L25)</f>
        <v>32936.300000000003</v>
      </c>
      <c r="N25" s="227">
        <f>SUM(N15:N22)</f>
        <v>0</v>
      </c>
      <c r="O25" s="227">
        <f>SUM(O15:O22)</f>
        <v>32936.300000000003</v>
      </c>
      <c r="P25" s="220">
        <f>SUM(P15:P22)</f>
        <v>2275.4</v>
      </c>
      <c r="Q25" s="221">
        <f>SUM(Q15:Q22)</f>
        <v>13269.6</v>
      </c>
      <c r="R25" s="221">
        <f>SUM(R15:R22)</f>
        <v>768</v>
      </c>
      <c r="S25" s="222">
        <f>SUM(P25:R25)</f>
        <v>16313</v>
      </c>
      <c r="T25" s="223">
        <f>SUM(T15:T22)</f>
        <v>0</v>
      </c>
      <c r="U25" s="223">
        <f>SUM(U15:U22)</f>
        <v>16313.000000000002</v>
      </c>
      <c r="V25" s="220">
        <f>SUM(V15:V22)</f>
        <v>10838.1</v>
      </c>
      <c r="W25" s="221">
        <f>SUM(W15:W22)</f>
        <v>21129.1</v>
      </c>
      <c r="X25" s="221">
        <f>SUM(X15:X22)</f>
        <v>1516.5</v>
      </c>
      <c r="Y25" s="222">
        <f>SUM(V25:X25)</f>
        <v>33483.699999999997</v>
      </c>
      <c r="Z25" s="223">
        <f>SUM(Z15:Z22)</f>
        <v>0</v>
      </c>
      <c r="AA25" s="223">
        <f>SUM(AA15:AA22)</f>
        <v>33483.699999999997</v>
      </c>
      <c r="AB25" s="228">
        <f t="shared" si="8"/>
        <v>1.0166199603477013</v>
      </c>
      <c r="AC25" s="3"/>
      <c r="AD25" s="3"/>
    </row>
    <row r="26" spans="1:30" ht="15.75" customHeight="1" thickBot="1" x14ac:dyDescent="0.3">
      <c r="A26" s="3"/>
      <c r="B26" s="229"/>
      <c r="C26" s="230"/>
      <c r="D26" s="655" t="s">
        <v>44</v>
      </c>
      <c r="E26" s="656"/>
      <c r="F26" s="656"/>
      <c r="G26" s="657"/>
      <c r="H26" s="657"/>
      <c r="I26" s="658"/>
      <c r="J26" s="659" t="s">
        <v>44</v>
      </c>
      <c r="K26" s="660"/>
      <c r="L26" s="660"/>
      <c r="M26" s="661"/>
      <c r="N26" s="661"/>
      <c r="O26" s="662"/>
      <c r="P26" s="655" t="s">
        <v>44</v>
      </c>
      <c r="Q26" s="656"/>
      <c r="R26" s="656"/>
      <c r="S26" s="657"/>
      <c r="T26" s="657"/>
      <c r="U26" s="658"/>
      <c r="V26" s="655" t="s">
        <v>44</v>
      </c>
      <c r="W26" s="656"/>
      <c r="X26" s="656"/>
      <c r="Y26" s="657"/>
      <c r="Z26" s="657"/>
      <c r="AA26" s="658"/>
      <c r="AB26" s="663" t="s">
        <v>13</v>
      </c>
      <c r="AC26" s="3"/>
      <c r="AD26" s="3"/>
    </row>
    <row r="27" spans="1:30" ht="15.75" thickBot="1" x14ac:dyDescent="0.3">
      <c r="A27" s="3"/>
      <c r="B27" s="649" t="s">
        <v>7</v>
      </c>
      <c r="C27" s="651" t="s">
        <v>8</v>
      </c>
      <c r="D27" s="645" t="s">
        <v>45</v>
      </c>
      <c r="E27" s="646"/>
      <c r="F27" s="646"/>
      <c r="G27" s="647" t="s">
        <v>46</v>
      </c>
      <c r="H27" s="637" t="s">
        <v>47</v>
      </c>
      <c r="I27" s="639" t="s">
        <v>44</v>
      </c>
      <c r="J27" s="666" t="s">
        <v>45</v>
      </c>
      <c r="K27" s="667"/>
      <c r="L27" s="667"/>
      <c r="M27" s="668" t="s">
        <v>46</v>
      </c>
      <c r="N27" s="670" t="s">
        <v>47</v>
      </c>
      <c r="O27" s="672" t="s">
        <v>44</v>
      </c>
      <c r="P27" s="645" t="s">
        <v>45</v>
      </c>
      <c r="Q27" s="646"/>
      <c r="R27" s="646"/>
      <c r="S27" s="647" t="s">
        <v>46</v>
      </c>
      <c r="T27" s="637" t="s">
        <v>47</v>
      </c>
      <c r="U27" s="639" t="s">
        <v>44</v>
      </c>
      <c r="V27" s="645" t="s">
        <v>45</v>
      </c>
      <c r="W27" s="646"/>
      <c r="X27" s="646"/>
      <c r="Y27" s="647" t="s">
        <v>46</v>
      </c>
      <c r="Z27" s="637" t="s">
        <v>47</v>
      </c>
      <c r="AA27" s="639" t="s">
        <v>44</v>
      </c>
      <c r="AB27" s="664"/>
      <c r="AC27" s="3"/>
      <c r="AD27" s="3"/>
    </row>
    <row r="28" spans="1:30" ht="15.75" thickBot="1" x14ac:dyDescent="0.3">
      <c r="A28" s="3"/>
      <c r="B28" s="650"/>
      <c r="C28" s="652"/>
      <c r="D28" s="231" t="s">
        <v>48</v>
      </c>
      <c r="E28" s="232" t="s">
        <v>49</v>
      </c>
      <c r="F28" s="233" t="s">
        <v>50</v>
      </c>
      <c r="G28" s="648"/>
      <c r="H28" s="638"/>
      <c r="I28" s="640"/>
      <c r="J28" s="234" t="s">
        <v>48</v>
      </c>
      <c r="K28" s="235" t="s">
        <v>49</v>
      </c>
      <c r="L28" s="236" t="s">
        <v>50</v>
      </c>
      <c r="M28" s="669"/>
      <c r="N28" s="671"/>
      <c r="O28" s="673"/>
      <c r="P28" s="231" t="s">
        <v>48</v>
      </c>
      <c r="Q28" s="232" t="s">
        <v>49</v>
      </c>
      <c r="R28" s="233" t="s">
        <v>50</v>
      </c>
      <c r="S28" s="648"/>
      <c r="T28" s="638"/>
      <c r="U28" s="640"/>
      <c r="V28" s="231" t="s">
        <v>48</v>
      </c>
      <c r="W28" s="232" t="s">
        <v>49</v>
      </c>
      <c r="X28" s="233" t="s">
        <v>50</v>
      </c>
      <c r="Y28" s="648"/>
      <c r="Z28" s="638"/>
      <c r="AA28" s="640"/>
      <c r="AB28" s="665"/>
      <c r="AC28" s="3"/>
      <c r="AD28" s="3"/>
    </row>
    <row r="29" spans="1:30" ht="15.75" thickBot="1" x14ac:dyDescent="0.3">
      <c r="A29" s="3"/>
      <c r="B29" s="181" t="s">
        <v>51</v>
      </c>
      <c r="C29" s="182" t="s">
        <v>52</v>
      </c>
      <c r="D29" s="237">
        <v>829.2</v>
      </c>
      <c r="E29" s="237"/>
      <c r="F29" s="237"/>
      <c r="G29" s="238">
        <f>SUM(D29:F29)</f>
        <v>829.2</v>
      </c>
      <c r="H29" s="238"/>
      <c r="I29" s="239">
        <f>G29+H29</f>
        <v>829.2</v>
      </c>
      <c r="J29" s="406">
        <v>891.4</v>
      </c>
      <c r="K29" s="407"/>
      <c r="L29" s="407"/>
      <c r="M29" s="408">
        <f>SUM(J29:L29)</f>
        <v>891.4</v>
      </c>
      <c r="N29" s="408"/>
      <c r="O29" s="241">
        <f>M29+N29</f>
        <v>891.4</v>
      </c>
      <c r="P29" s="240">
        <v>334.9</v>
      </c>
      <c r="Q29" s="237"/>
      <c r="R29" s="237"/>
      <c r="S29" s="238">
        <f>SUM(P29:R29)</f>
        <v>334.9</v>
      </c>
      <c r="T29" s="238"/>
      <c r="U29" s="239">
        <f>S29+T29</f>
        <v>334.9</v>
      </c>
      <c r="V29">
        <v>660.7</v>
      </c>
      <c r="W29" s="237"/>
      <c r="X29" s="237"/>
      <c r="Y29" s="238">
        <f>SUM(V29:X29)</f>
        <v>660.7</v>
      </c>
      <c r="Z29" s="238"/>
      <c r="AA29" s="239">
        <f>Y29+Z29</f>
        <v>660.7</v>
      </c>
      <c r="AB29" s="190">
        <f t="shared" ref="AB29:AB42" si="12">(AA29/O29)</f>
        <v>0.7411936280008975</v>
      </c>
      <c r="AC29" s="3"/>
      <c r="AD29" s="3"/>
    </row>
    <row r="30" spans="1:30" x14ac:dyDescent="0.25">
      <c r="A30" s="3"/>
      <c r="B30" s="191" t="s">
        <v>53</v>
      </c>
      <c r="C30" s="206" t="s">
        <v>54</v>
      </c>
      <c r="D30" s="481">
        <v>482.7</v>
      </c>
      <c r="E30" s="242">
        <v>30.9</v>
      </c>
      <c r="F30" s="242">
        <v>986.5</v>
      </c>
      <c r="G30" s="243">
        <f t="shared" ref="G30:G39" si="13">SUM(D30:F30)</f>
        <v>1500.1</v>
      </c>
      <c r="H30" s="243"/>
      <c r="I30" s="188">
        <f t="shared" ref="I30:I39" si="14">G30+H30</f>
        <v>1500.1</v>
      </c>
      <c r="J30" s="245">
        <v>505.1</v>
      </c>
      <c r="K30" s="246">
        <v>71</v>
      </c>
      <c r="L30" s="246">
        <v>890</v>
      </c>
      <c r="M30" s="247">
        <f t="shared" ref="M30:M39" si="15">SUM(J30:L30)</f>
        <v>1466.1</v>
      </c>
      <c r="N30" s="247"/>
      <c r="O30" s="189">
        <f t="shared" ref="O30:O39" si="16">M30+N30</f>
        <v>1466.1</v>
      </c>
      <c r="P30" s="244">
        <v>224.3</v>
      </c>
      <c r="Q30" s="242">
        <v>147.80000000000001</v>
      </c>
      <c r="R30" s="242">
        <v>493.4</v>
      </c>
      <c r="S30" s="243">
        <f t="shared" ref="S30:S39" si="17">SUM(P30:R30)</f>
        <v>865.5</v>
      </c>
      <c r="T30" s="243"/>
      <c r="U30" s="188">
        <f t="shared" ref="U30:U39" si="18">S30+T30</f>
        <v>865.5</v>
      </c>
      <c r="V30" s="240">
        <v>687.8</v>
      </c>
      <c r="W30" s="242">
        <v>276.89999999999998</v>
      </c>
      <c r="X30" s="242">
        <v>1050</v>
      </c>
      <c r="Y30" s="243">
        <f>SUM(V30:X30)</f>
        <v>2014.6999999999998</v>
      </c>
      <c r="Z30" s="243"/>
      <c r="AA30" s="188">
        <f t="shared" ref="AA30:AA39" si="19">Y30+Z30</f>
        <v>2014.6999999999998</v>
      </c>
      <c r="AB30" s="190">
        <f t="shared" si="12"/>
        <v>1.3741900279653503</v>
      </c>
      <c r="AC30" s="3"/>
      <c r="AD30" s="3"/>
    </row>
    <row r="31" spans="1:30" x14ac:dyDescent="0.25">
      <c r="A31" s="3"/>
      <c r="B31" s="191" t="s">
        <v>55</v>
      </c>
      <c r="C31" s="206" t="s">
        <v>56</v>
      </c>
      <c r="D31" s="242">
        <v>1355.4</v>
      </c>
      <c r="E31" s="242"/>
      <c r="F31" s="242"/>
      <c r="G31" s="243">
        <f t="shared" si="13"/>
        <v>1355.4</v>
      </c>
      <c r="H31" s="243"/>
      <c r="I31" s="188">
        <f t="shared" si="14"/>
        <v>1355.4</v>
      </c>
      <c r="J31" s="245">
        <v>1478.9</v>
      </c>
      <c r="K31" s="246"/>
      <c r="L31" s="246"/>
      <c r="M31" s="247">
        <f t="shared" si="15"/>
        <v>1478.9</v>
      </c>
      <c r="N31" s="247"/>
      <c r="O31" s="189">
        <f t="shared" si="16"/>
        <v>1478.9</v>
      </c>
      <c r="P31" s="244">
        <v>762.8</v>
      </c>
      <c r="Q31" s="242"/>
      <c r="R31" s="242"/>
      <c r="S31" s="243">
        <f t="shared" si="17"/>
        <v>762.8</v>
      </c>
      <c r="T31" s="243"/>
      <c r="U31" s="188">
        <f t="shared" si="18"/>
        <v>762.8</v>
      </c>
      <c r="V31" s="244">
        <v>1807.3</v>
      </c>
      <c r="W31" s="242"/>
      <c r="X31" s="242"/>
      <c r="Y31" s="243">
        <f t="shared" ref="Y31:Y39" si="20">SUM(V31:X31)</f>
        <v>1807.3</v>
      </c>
      <c r="Z31" s="243"/>
      <c r="AA31" s="188">
        <f t="shared" si="19"/>
        <v>1807.3</v>
      </c>
      <c r="AB31" s="190">
        <f t="shared" si="12"/>
        <v>1.2220569342078571</v>
      </c>
      <c r="AC31" s="3"/>
      <c r="AD31" s="3"/>
    </row>
    <row r="32" spans="1:30" x14ac:dyDescent="0.25">
      <c r="A32" s="3"/>
      <c r="B32" s="191" t="s">
        <v>57</v>
      </c>
      <c r="C32" s="206" t="s">
        <v>58</v>
      </c>
      <c r="D32" s="242">
        <v>704.6</v>
      </c>
      <c r="E32" s="242">
        <v>63.8</v>
      </c>
      <c r="F32" s="242">
        <v>80.099999999999994</v>
      </c>
      <c r="G32" s="243">
        <f t="shared" si="13"/>
        <v>848.5</v>
      </c>
      <c r="H32" s="243"/>
      <c r="I32" s="188">
        <f t="shared" si="14"/>
        <v>848.5</v>
      </c>
      <c r="J32" s="245">
        <v>1453.6</v>
      </c>
      <c r="K32" s="246">
        <v>120.3</v>
      </c>
      <c r="L32" s="246">
        <v>80.2</v>
      </c>
      <c r="M32" s="247">
        <f t="shared" si="15"/>
        <v>1654.1</v>
      </c>
      <c r="N32" s="247"/>
      <c r="O32" s="189">
        <f t="shared" si="16"/>
        <v>1654.1</v>
      </c>
      <c r="P32" s="244">
        <v>381.3</v>
      </c>
      <c r="Q32" s="242">
        <v>98.8</v>
      </c>
      <c r="R32" s="242">
        <v>20</v>
      </c>
      <c r="S32" s="243">
        <f t="shared" si="17"/>
        <v>500.1</v>
      </c>
      <c r="T32" s="243"/>
      <c r="U32" s="188">
        <f t="shared" si="18"/>
        <v>500.1</v>
      </c>
      <c r="V32" s="244">
        <v>930.2</v>
      </c>
      <c r="W32" s="242">
        <v>190.2</v>
      </c>
      <c r="X32" s="242">
        <v>89.6</v>
      </c>
      <c r="Y32" s="243">
        <f t="shared" si="20"/>
        <v>1210</v>
      </c>
      <c r="Z32" s="243"/>
      <c r="AA32" s="188">
        <f t="shared" si="19"/>
        <v>1210</v>
      </c>
      <c r="AB32" s="190">
        <f t="shared" si="12"/>
        <v>0.73151562783386737</v>
      </c>
      <c r="AC32" s="3"/>
      <c r="AD32" s="3"/>
    </row>
    <row r="33" spans="1:30" x14ac:dyDescent="0.25">
      <c r="A33" s="3"/>
      <c r="B33" s="191" t="s">
        <v>59</v>
      </c>
      <c r="C33" s="206" t="s">
        <v>60</v>
      </c>
      <c r="D33" s="248">
        <v>27</v>
      </c>
      <c r="E33" s="242">
        <v>19460.400000000001</v>
      </c>
      <c r="F33" s="242">
        <v>47.3</v>
      </c>
      <c r="G33" s="243">
        <f t="shared" si="13"/>
        <v>19534.7</v>
      </c>
      <c r="H33" s="243"/>
      <c r="I33" s="188">
        <f t="shared" si="14"/>
        <v>19534.7</v>
      </c>
      <c r="J33" s="245">
        <v>27</v>
      </c>
      <c r="K33" s="246">
        <v>19420.099999999999</v>
      </c>
      <c r="L33" s="246">
        <v>36</v>
      </c>
      <c r="M33" s="247">
        <f>J33+K33+L33</f>
        <v>19483.099999999999</v>
      </c>
      <c r="N33" s="247"/>
      <c r="O33" s="189">
        <f t="shared" si="16"/>
        <v>19483.099999999999</v>
      </c>
      <c r="P33" s="249">
        <v>25.4</v>
      </c>
      <c r="Q33" s="242">
        <v>9694.9</v>
      </c>
      <c r="R33" s="242">
        <v>73.8</v>
      </c>
      <c r="S33" s="243">
        <f t="shared" si="17"/>
        <v>9794.0999999999985</v>
      </c>
      <c r="T33" s="243"/>
      <c r="U33" s="188">
        <f t="shared" si="18"/>
        <v>9794.0999999999985</v>
      </c>
      <c r="V33" s="466">
        <v>4316</v>
      </c>
      <c r="W33" s="242">
        <v>15100.9</v>
      </c>
      <c r="X33" s="242">
        <v>47.2</v>
      </c>
      <c r="Y33" s="243">
        <f t="shared" si="20"/>
        <v>19464.100000000002</v>
      </c>
      <c r="Z33" s="243"/>
      <c r="AA33" s="188">
        <f t="shared" si="19"/>
        <v>19464.100000000002</v>
      </c>
      <c r="AB33" s="190">
        <f t="shared" si="12"/>
        <v>0.99902479584871007</v>
      </c>
      <c r="AC33" s="3"/>
      <c r="AD33" s="3"/>
    </row>
    <row r="34" spans="1:30" x14ac:dyDescent="0.25">
      <c r="A34" s="3"/>
      <c r="B34" s="191" t="s">
        <v>61</v>
      </c>
      <c r="C34" s="202" t="s">
        <v>127</v>
      </c>
      <c r="D34" s="248">
        <v>27</v>
      </c>
      <c r="E34" s="242">
        <v>19243.099999999999</v>
      </c>
      <c r="F34" s="242">
        <v>47.3</v>
      </c>
      <c r="G34" s="243">
        <f t="shared" si="13"/>
        <v>19317.399999999998</v>
      </c>
      <c r="H34" s="243"/>
      <c r="I34" s="188">
        <f t="shared" si="14"/>
        <v>19317.399999999998</v>
      </c>
      <c r="J34" s="245">
        <v>27</v>
      </c>
      <c r="K34" s="246">
        <v>19200</v>
      </c>
      <c r="L34" s="246">
        <v>36</v>
      </c>
      <c r="M34" s="247">
        <f t="shared" si="15"/>
        <v>19263</v>
      </c>
      <c r="N34" s="247"/>
      <c r="O34" s="189">
        <f t="shared" si="16"/>
        <v>19263</v>
      </c>
      <c r="P34" s="249">
        <v>25.4</v>
      </c>
      <c r="Q34" s="242">
        <v>9441.9</v>
      </c>
      <c r="R34" s="242">
        <v>73.8</v>
      </c>
      <c r="S34" s="243">
        <f t="shared" si="17"/>
        <v>9541.0999999999985</v>
      </c>
      <c r="T34" s="243"/>
      <c r="U34" s="188">
        <f t="shared" si="18"/>
        <v>9541.0999999999985</v>
      </c>
      <c r="V34" s="249">
        <v>4295.6000000000004</v>
      </c>
      <c r="W34" s="242">
        <v>15039.9</v>
      </c>
      <c r="X34" s="242"/>
      <c r="Y34" s="243">
        <f t="shared" si="20"/>
        <v>19335.5</v>
      </c>
      <c r="Z34" s="243"/>
      <c r="AA34" s="188">
        <f t="shared" si="19"/>
        <v>19335.5</v>
      </c>
      <c r="AB34" s="190">
        <f t="shared" si="12"/>
        <v>1.0037636920521207</v>
      </c>
      <c r="AC34" s="3"/>
      <c r="AD34" s="3"/>
    </row>
    <row r="35" spans="1:30" x14ac:dyDescent="0.25">
      <c r="A35" s="3"/>
      <c r="B35" s="191" t="s">
        <v>63</v>
      </c>
      <c r="C35" s="250" t="s">
        <v>64</v>
      </c>
      <c r="D35" s="248"/>
      <c r="E35" s="242">
        <v>217.4</v>
      </c>
      <c r="F35" s="242"/>
      <c r="G35" s="243">
        <f t="shared" si="13"/>
        <v>217.4</v>
      </c>
      <c r="H35" s="243"/>
      <c r="I35" s="188">
        <f t="shared" si="14"/>
        <v>217.4</v>
      </c>
      <c r="J35" s="245"/>
      <c r="K35" s="246">
        <v>220.1</v>
      </c>
      <c r="L35" s="246"/>
      <c r="M35" s="247">
        <f>SUM(J35:L35)</f>
        <v>220.1</v>
      </c>
      <c r="N35" s="247"/>
      <c r="O35" s="189">
        <f t="shared" si="16"/>
        <v>220.1</v>
      </c>
      <c r="P35" s="249"/>
      <c r="Q35" s="242">
        <v>253</v>
      </c>
      <c r="R35" s="242"/>
      <c r="S35" s="243">
        <f t="shared" si="17"/>
        <v>253</v>
      </c>
      <c r="T35" s="243"/>
      <c r="U35" s="188">
        <f t="shared" si="18"/>
        <v>253</v>
      </c>
      <c r="V35" s="466">
        <v>20.399999999999999</v>
      </c>
      <c r="W35" s="242">
        <v>61.04</v>
      </c>
      <c r="X35" s="242">
        <v>47.2</v>
      </c>
      <c r="Y35" s="243">
        <f t="shared" si="20"/>
        <v>128.63999999999999</v>
      </c>
      <c r="Z35" s="243"/>
      <c r="AA35" s="188">
        <f t="shared" si="19"/>
        <v>128.63999999999999</v>
      </c>
      <c r="AB35" s="190">
        <f t="shared" si="12"/>
        <v>0.5844616083598364</v>
      </c>
      <c r="AC35" s="3"/>
      <c r="AD35" s="3"/>
    </row>
    <row r="36" spans="1:30" x14ac:dyDescent="0.25">
      <c r="A36" s="3"/>
      <c r="B36" s="191" t="s">
        <v>65</v>
      </c>
      <c r="C36" s="206" t="s">
        <v>66</v>
      </c>
      <c r="D36" s="248">
        <v>11.2</v>
      </c>
      <c r="E36" s="242">
        <v>6376.7</v>
      </c>
      <c r="F36" s="242"/>
      <c r="G36" s="243">
        <f t="shared" si="13"/>
        <v>6387.9</v>
      </c>
      <c r="H36" s="243"/>
      <c r="I36" s="188">
        <f t="shared" si="14"/>
        <v>6387.9</v>
      </c>
      <c r="J36" s="245">
        <v>15.1</v>
      </c>
      <c r="K36" s="246">
        <v>6489.6</v>
      </c>
      <c r="L36" s="246"/>
      <c r="M36" s="247">
        <f t="shared" ref="M36" si="21">SUM(J36:L36)</f>
        <v>6504.7000000000007</v>
      </c>
      <c r="N36" s="247"/>
      <c r="O36" s="189">
        <f t="shared" si="16"/>
        <v>6504.7000000000007</v>
      </c>
      <c r="P36" s="249">
        <v>13.8</v>
      </c>
      <c r="Q36" s="242">
        <v>3178.2</v>
      </c>
      <c r="R36" s="242"/>
      <c r="S36" s="243">
        <f t="shared" si="17"/>
        <v>3192</v>
      </c>
      <c r="T36" s="243"/>
      <c r="U36" s="188">
        <f t="shared" si="18"/>
        <v>3192</v>
      </c>
      <c r="V36" s="249">
        <v>1516.9</v>
      </c>
      <c r="W36" s="242">
        <v>5233.8</v>
      </c>
      <c r="X36" s="242"/>
      <c r="Y36" s="243">
        <f t="shared" si="20"/>
        <v>6750.7000000000007</v>
      </c>
      <c r="Z36" s="243"/>
      <c r="AA36" s="188">
        <f t="shared" si="19"/>
        <v>6750.7000000000007</v>
      </c>
      <c r="AB36" s="190">
        <f t="shared" si="12"/>
        <v>1.037818807938875</v>
      </c>
      <c r="AC36" s="3"/>
      <c r="AD36" s="3"/>
    </row>
    <row r="37" spans="1:30" x14ac:dyDescent="0.25">
      <c r="A37" s="3"/>
      <c r="B37" s="191" t="s">
        <v>67</v>
      </c>
      <c r="C37" s="206" t="s">
        <v>68</v>
      </c>
      <c r="D37" s="242">
        <v>45.6</v>
      </c>
      <c r="E37" s="242"/>
      <c r="F37" s="242"/>
      <c r="G37" s="243">
        <f t="shared" si="13"/>
        <v>45.6</v>
      </c>
      <c r="H37" s="243"/>
      <c r="I37" s="188">
        <f t="shared" si="14"/>
        <v>45.6</v>
      </c>
      <c r="J37" s="245">
        <v>36.799999999999997</v>
      </c>
      <c r="K37" s="482"/>
      <c r="L37" s="246"/>
      <c r="M37" s="247">
        <f t="shared" si="15"/>
        <v>36.799999999999997</v>
      </c>
      <c r="N37" s="247"/>
      <c r="O37" s="189">
        <f t="shared" si="16"/>
        <v>36.799999999999997</v>
      </c>
      <c r="P37" s="244">
        <v>9</v>
      </c>
      <c r="Q37" s="242"/>
      <c r="R37" s="242"/>
      <c r="S37" s="243">
        <f t="shared" si="17"/>
        <v>9</v>
      </c>
      <c r="T37" s="243"/>
      <c r="U37" s="188">
        <f t="shared" si="18"/>
        <v>9</v>
      </c>
      <c r="V37" s="244">
        <v>45.6</v>
      </c>
      <c r="W37" s="242"/>
      <c r="X37" s="242"/>
      <c r="Y37" s="243">
        <f t="shared" si="20"/>
        <v>45.6</v>
      </c>
      <c r="Z37" s="243"/>
      <c r="AA37" s="188">
        <f t="shared" si="19"/>
        <v>45.6</v>
      </c>
      <c r="AB37" s="190">
        <f t="shared" si="12"/>
        <v>1.2391304347826089</v>
      </c>
      <c r="AC37" s="3"/>
      <c r="AD37" s="3"/>
    </row>
    <row r="38" spans="1:30" x14ac:dyDescent="0.25">
      <c r="A38" s="3"/>
      <c r="B38" s="191" t="s">
        <v>69</v>
      </c>
      <c r="C38" s="206" t="s">
        <v>70</v>
      </c>
      <c r="D38" s="242">
        <v>468.1</v>
      </c>
      <c r="E38" s="242"/>
      <c r="F38" s="242"/>
      <c r="G38" s="243">
        <f t="shared" si="13"/>
        <v>468.1</v>
      </c>
      <c r="H38" s="243"/>
      <c r="I38" s="188">
        <f t="shared" si="14"/>
        <v>468.1</v>
      </c>
      <c r="J38" s="245">
        <v>460.9</v>
      </c>
      <c r="K38" s="246"/>
      <c r="L38" s="246"/>
      <c r="M38" s="247">
        <f t="shared" si="15"/>
        <v>460.9</v>
      </c>
      <c r="N38" s="247"/>
      <c r="O38" s="189">
        <f t="shared" si="16"/>
        <v>460.9</v>
      </c>
      <c r="P38" s="244">
        <v>230.3</v>
      </c>
      <c r="Q38" s="242"/>
      <c r="R38" s="242"/>
      <c r="S38" s="243">
        <f t="shared" si="17"/>
        <v>230.3</v>
      </c>
      <c r="T38" s="243"/>
      <c r="U38" s="188">
        <f t="shared" si="18"/>
        <v>230.3</v>
      </c>
      <c r="V38" s="244">
        <v>439.7</v>
      </c>
      <c r="W38" s="242"/>
      <c r="X38" s="242"/>
      <c r="Y38" s="243">
        <f t="shared" si="20"/>
        <v>439.7</v>
      </c>
      <c r="Z38" s="243"/>
      <c r="AA38" s="188">
        <f t="shared" si="19"/>
        <v>439.7</v>
      </c>
      <c r="AB38" s="190">
        <f t="shared" si="12"/>
        <v>0.95400303753525717</v>
      </c>
      <c r="AC38" s="3"/>
      <c r="AD38" s="3"/>
    </row>
    <row r="39" spans="1:30" ht="15.75" thickBot="1" x14ac:dyDescent="0.3">
      <c r="A39" s="3"/>
      <c r="B39" s="409" t="s">
        <v>71</v>
      </c>
      <c r="C39" s="251" t="s">
        <v>72</v>
      </c>
      <c r="D39" s="85">
        <v>110.6</v>
      </c>
      <c r="E39" s="85">
        <v>328.1</v>
      </c>
      <c r="F39" s="85">
        <v>282.7</v>
      </c>
      <c r="G39" s="243">
        <f t="shared" si="13"/>
        <v>721.40000000000009</v>
      </c>
      <c r="H39" s="252"/>
      <c r="I39" s="215">
        <f t="shared" si="14"/>
        <v>721.40000000000009</v>
      </c>
      <c r="J39" s="410">
        <v>353.3</v>
      </c>
      <c r="K39" s="411">
        <v>250.2</v>
      </c>
      <c r="L39" s="411">
        <v>356.8</v>
      </c>
      <c r="M39" s="412">
        <f t="shared" si="15"/>
        <v>960.3</v>
      </c>
      <c r="N39" s="412"/>
      <c r="O39" s="216">
        <f t="shared" si="16"/>
        <v>960.3</v>
      </c>
      <c r="P39" s="253">
        <v>126.4</v>
      </c>
      <c r="Q39" s="85">
        <v>149.9</v>
      </c>
      <c r="R39" s="85">
        <v>21.95</v>
      </c>
      <c r="S39" s="252">
        <f t="shared" si="17"/>
        <v>298.25</v>
      </c>
      <c r="T39" s="252"/>
      <c r="U39" s="215">
        <f t="shared" si="18"/>
        <v>298.25</v>
      </c>
      <c r="V39" s="253">
        <v>433.9</v>
      </c>
      <c r="W39" s="85">
        <v>327.3</v>
      </c>
      <c r="X39" s="85">
        <v>329.7</v>
      </c>
      <c r="Y39" s="252">
        <f t="shared" si="20"/>
        <v>1090.9000000000001</v>
      </c>
      <c r="Z39" s="252"/>
      <c r="AA39" s="215">
        <f t="shared" si="19"/>
        <v>1090.9000000000001</v>
      </c>
      <c r="AB39" s="217">
        <f t="shared" si="12"/>
        <v>1.1359991669270022</v>
      </c>
      <c r="AC39" s="3"/>
      <c r="AD39" s="3"/>
    </row>
    <row r="40" spans="1:30" ht="15.75" thickBot="1" x14ac:dyDescent="0.3">
      <c r="A40" s="3"/>
      <c r="B40" s="218" t="s">
        <v>73</v>
      </c>
      <c r="C40" s="255" t="s">
        <v>74</v>
      </c>
      <c r="D40" s="256">
        <f>SUM(D36:D39)+SUM(D29:D33)</f>
        <v>4034.4</v>
      </c>
      <c r="E40" s="256">
        <f>SUM(E36:E39)+SUM(E29:E33)</f>
        <v>26259.9</v>
      </c>
      <c r="F40" s="256">
        <f>SUM(F36:F39)+SUM(F29:F33)</f>
        <v>1396.6</v>
      </c>
      <c r="G40" s="257">
        <f>SUM(D40:F40)</f>
        <v>31690.9</v>
      </c>
      <c r="H40" s="258">
        <f>SUM(H29:H33)+SUM(H36:H39)</f>
        <v>0</v>
      </c>
      <c r="I40" s="259">
        <f>SUM(I36:I39)+SUM(I29:I33)</f>
        <v>31690.9</v>
      </c>
      <c r="J40" s="260">
        <f>SUM(J36:J39)+SUM(J29:J33)</f>
        <v>5222.1000000000004</v>
      </c>
      <c r="K40" s="260">
        <f>SUM(K36:K39)+SUM(K29:K33)</f>
        <v>26351.199999999997</v>
      </c>
      <c r="L40" s="260">
        <f>SUM(L36:L39)+SUM(L29:L33)</f>
        <v>1363</v>
      </c>
      <c r="M40" s="261">
        <f>SUM(J40:L40)</f>
        <v>32936.299999999996</v>
      </c>
      <c r="N40" s="262">
        <f>SUM(N29:N33)+SUM(N36:N39)</f>
        <v>0</v>
      </c>
      <c r="O40" s="263">
        <f>SUM(O36:O39)+SUM(O29:O33)</f>
        <v>32936.300000000003</v>
      </c>
      <c r="P40" s="256">
        <f>SUM(P36:P39)+SUM(P29:P33)</f>
        <v>2108.1999999999998</v>
      </c>
      <c r="Q40" s="256">
        <f>SUM(Q36:Q39)+SUM(Q29:Q33)</f>
        <v>13269.6</v>
      </c>
      <c r="R40" s="256">
        <f>SUM(R36:R39)+SUM(R29:R33)</f>
        <v>609.15</v>
      </c>
      <c r="S40" s="257">
        <f>SUM(P40:R40)</f>
        <v>15986.949999999999</v>
      </c>
      <c r="T40" s="258">
        <f>SUM(T29:T33)+SUM(T36:T39)</f>
        <v>0</v>
      </c>
      <c r="U40" s="259">
        <f>SUM(U36:U39)+SUM(U29:U33)</f>
        <v>15986.949999999997</v>
      </c>
      <c r="V40" s="256">
        <f>SUM(V36:V39)+SUM(V29:V33)</f>
        <v>10838.1</v>
      </c>
      <c r="W40" s="256">
        <f>SUM(W36:W39)+SUM(W29:W33)</f>
        <v>21129.1</v>
      </c>
      <c r="X40" s="256">
        <f>SUM(X36:X39)+SUM(X29:X33)</f>
        <v>1516.5</v>
      </c>
      <c r="Y40" s="257">
        <f>SUM(V40:X40)</f>
        <v>33483.699999999997</v>
      </c>
      <c r="Z40" s="258">
        <f>SUM(Z29:Z33)+SUM(Z36:Z39)</f>
        <v>0</v>
      </c>
      <c r="AA40" s="259">
        <f>SUM(AA36:AA39)+SUM(AA29:AA33)</f>
        <v>33483.700000000004</v>
      </c>
      <c r="AB40" s="264">
        <f t="shared" si="12"/>
        <v>1.0166199603477015</v>
      </c>
      <c r="AC40" s="3"/>
      <c r="AD40" s="3"/>
    </row>
    <row r="41" spans="1:30" ht="19.5" thickBot="1" x14ac:dyDescent="0.35">
      <c r="A41" s="3"/>
      <c r="B41" s="265" t="s">
        <v>75</v>
      </c>
      <c r="C41" s="266" t="s">
        <v>76</v>
      </c>
      <c r="D41" s="267">
        <f t="shared" ref="D41:AA41" si="22">D25-D40</f>
        <v>12</v>
      </c>
      <c r="E41" s="267">
        <f t="shared" si="22"/>
        <v>0</v>
      </c>
      <c r="F41" s="267">
        <f t="shared" si="22"/>
        <v>85.400000000000091</v>
      </c>
      <c r="G41" s="268">
        <f t="shared" si="22"/>
        <v>97.400000000001455</v>
      </c>
      <c r="H41" s="268">
        <f t="shared" si="22"/>
        <v>0</v>
      </c>
      <c r="I41" s="269">
        <f t="shared" si="22"/>
        <v>97.400000000001455</v>
      </c>
      <c r="J41" s="267">
        <f t="shared" si="22"/>
        <v>0</v>
      </c>
      <c r="K41" s="267">
        <f t="shared" si="22"/>
        <v>0</v>
      </c>
      <c r="L41" s="267">
        <f t="shared" si="22"/>
        <v>0</v>
      </c>
      <c r="M41" s="270">
        <f t="shared" si="22"/>
        <v>0</v>
      </c>
      <c r="N41" s="270">
        <f t="shared" si="22"/>
        <v>0</v>
      </c>
      <c r="O41" s="271">
        <f t="shared" si="22"/>
        <v>0</v>
      </c>
      <c r="P41" s="267">
        <f t="shared" si="22"/>
        <v>167.20000000000027</v>
      </c>
      <c r="Q41" s="267">
        <f t="shared" si="22"/>
        <v>0</v>
      </c>
      <c r="R41" s="267">
        <f t="shared" si="22"/>
        <v>158.85000000000002</v>
      </c>
      <c r="S41" s="268">
        <f t="shared" si="22"/>
        <v>326.05000000000109</v>
      </c>
      <c r="T41" s="268">
        <f t="shared" si="22"/>
        <v>0</v>
      </c>
      <c r="U41" s="269">
        <f t="shared" si="22"/>
        <v>326.05000000000473</v>
      </c>
      <c r="V41" s="267">
        <f t="shared" si="22"/>
        <v>0</v>
      </c>
      <c r="W41" s="267">
        <f t="shared" si="22"/>
        <v>0</v>
      </c>
      <c r="X41" s="267">
        <f t="shared" si="22"/>
        <v>0</v>
      </c>
      <c r="Y41" s="268">
        <f t="shared" si="22"/>
        <v>0</v>
      </c>
      <c r="Z41" s="268">
        <f t="shared" si="22"/>
        <v>0</v>
      </c>
      <c r="AA41" s="269">
        <f t="shared" si="22"/>
        <v>0</v>
      </c>
      <c r="AB41" s="272" t="e">
        <f t="shared" si="12"/>
        <v>#DIV/0!</v>
      </c>
      <c r="AC41" s="3"/>
      <c r="AD41" s="3"/>
    </row>
    <row r="42" spans="1:30" ht="15.75" thickBot="1" x14ac:dyDescent="0.3">
      <c r="A42" s="3"/>
      <c r="B42" s="273" t="s">
        <v>77</v>
      </c>
      <c r="C42" s="274" t="s">
        <v>78</v>
      </c>
      <c r="D42" s="275"/>
      <c r="E42" s="276"/>
      <c r="F42" s="276"/>
      <c r="G42" s="277"/>
      <c r="H42" s="278"/>
      <c r="I42" s="279">
        <f>I41-D16</f>
        <v>-3824.9999999999986</v>
      </c>
      <c r="J42" s="275"/>
      <c r="K42" s="276"/>
      <c r="L42" s="276"/>
      <c r="M42" s="277"/>
      <c r="N42" s="280"/>
      <c r="O42" s="279">
        <f>O41-J16</f>
        <v>-4500</v>
      </c>
      <c r="P42" s="275"/>
      <c r="Q42" s="276"/>
      <c r="R42" s="276"/>
      <c r="S42" s="277"/>
      <c r="T42" s="280"/>
      <c r="U42" s="279">
        <f>U41-P16</f>
        <v>-1923.9499999999953</v>
      </c>
      <c r="V42" s="275"/>
      <c r="W42" s="276"/>
      <c r="X42" s="276"/>
      <c r="Y42" s="277"/>
      <c r="Z42" s="280"/>
      <c r="AA42" s="279">
        <f>AA41-V16</f>
        <v>-4850</v>
      </c>
      <c r="AB42" s="190">
        <f t="shared" si="12"/>
        <v>1.0777777777777777</v>
      </c>
      <c r="AC42" s="3"/>
      <c r="AD42" s="3"/>
    </row>
    <row r="43" spans="1:30" ht="8.25" customHeight="1" thickBot="1" x14ac:dyDescent="0.3">
      <c r="A43" s="3"/>
      <c r="B43" s="281"/>
      <c r="C43" s="282"/>
      <c r="D43" s="283"/>
      <c r="E43" s="284"/>
      <c r="F43" s="284"/>
      <c r="G43" s="3"/>
      <c r="H43" s="284"/>
      <c r="I43" s="284"/>
      <c r="J43" s="283"/>
      <c r="K43" s="284"/>
      <c r="L43" s="284"/>
      <c r="M43" s="3"/>
      <c r="N43" s="284"/>
      <c r="O43" s="284"/>
      <c r="P43" s="284"/>
      <c r="Q43" s="284"/>
      <c r="R43" s="284"/>
      <c r="S43" s="284"/>
      <c r="T43" s="284"/>
      <c r="U43" s="284"/>
      <c r="V43" s="3"/>
      <c r="W43" s="3"/>
      <c r="X43" s="3"/>
      <c r="Y43" s="3"/>
      <c r="Z43" s="3"/>
      <c r="AA43" s="3"/>
      <c r="AB43" s="3"/>
      <c r="AC43" s="3"/>
      <c r="AD43" s="3"/>
    </row>
    <row r="44" spans="1:30" ht="15.75" customHeight="1" thickBot="1" x14ac:dyDescent="0.3">
      <c r="A44" s="3"/>
      <c r="B44" s="281"/>
      <c r="C44" s="641" t="s">
        <v>79</v>
      </c>
      <c r="D44" s="123" t="s">
        <v>80</v>
      </c>
      <c r="E44" s="285" t="s">
        <v>81</v>
      </c>
      <c r="F44" s="286" t="s">
        <v>82</v>
      </c>
      <c r="G44" s="284"/>
      <c r="H44" s="284"/>
      <c r="I44" s="287"/>
      <c r="J44" s="123" t="s">
        <v>80</v>
      </c>
      <c r="K44" s="285" t="s">
        <v>81</v>
      </c>
      <c r="L44" s="286" t="s">
        <v>82</v>
      </c>
      <c r="M44" s="284"/>
      <c r="N44" s="284"/>
      <c r="O44" s="284"/>
      <c r="P44" s="123" t="s">
        <v>80</v>
      </c>
      <c r="Q44" s="285" t="s">
        <v>81</v>
      </c>
      <c r="R44" s="286" t="s">
        <v>82</v>
      </c>
      <c r="S44" s="3"/>
      <c r="T44" s="3"/>
      <c r="U44" s="3"/>
      <c r="V44" s="123" t="s">
        <v>80</v>
      </c>
      <c r="W44" s="285" t="s">
        <v>81</v>
      </c>
      <c r="X44" s="286" t="s">
        <v>82</v>
      </c>
      <c r="Y44" s="3"/>
      <c r="Z44" s="3"/>
      <c r="AA44" s="3"/>
      <c r="AB44" s="3"/>
      <c r="AC44" s="3"/>
      <c r="AD44" s="3"/>
    </row>
    <row r="45" spans="1:30" ht="15.75" thickBot="1" x14ac:dyDescent="0.3">
      <c r="A45" s="3"/>
      <c r="B45" s="281"/>
      <c r="C45" s="642"/>
      <c r="D45" s="288">
        <v>267.39999999999998</v>
      </c>
      <c r="E45" s="289">
        <v>267.39999999999998</v>
      </c>
      <c r="F45" s="290">
        <v>0</v>
      </c>
      <c r="G45" s="284"/>
      <c r="H45" s="284"/>
      <c r="I45" s="287"/>
      <c r="J45" s="288">
        <v>267.39999999999998</v>
      </c>
      <c r="K45" s="289">
        <v>267.39999999999998</v>
      </c>
      <c r="L45" s="290">
        <v>0</v>
      </c>
      <c r="M45" s="291"/>
      <c r="N45" s="291"/>
      <c r="O45" s="291"/>
      <c r="P45" s="288">
        <v>133.5</v>
      </c>
      <c r="Q45" s="289">
        <v>133.5</v>
      </c>
      <c r="R45" s="290">
        <v>0</v>
      </c>
      <c r="S45" s="3"/>
      <c r="T45" s="3"/>
      <c r="U45" s="3"/>
      <c r="V45" s="288">
        <v>256.89999999999998</v>
      </c>
      <c r="W45" s="289">
        <v>256.89999999999998</v>
      </c>
      <c r="X45" s="290">
        <v>0</v>
      </c>
      <c r="Y45" s="3"/>
      <c r="Z45" s="3"/>
      <c r="AA45" s="3"/>
      <c r="AB45" s="3"/>
      <c r="AC45" s="3"/>
      <c r="AD45" s="3"/>
    </row>
    <row r="46" spans="1:30" ht="8.25" customHeight="1" thickBot="1" x14ac:dyDescent="0.3">
      <c r="A46" s="3"/>
      <c r="B46" s="281"/>
      <c r="C46" s="282"/>
      <c r="D46" s="291"/>
      <c r="E46" s="284"/>
      <c r="F46" s="284"/>
      <c r="G46" s="284"/>
      <c r="H46" s="284"/>
      <c r="I46" s="287"/>
      <c r="J46" s="284"/>
      <c r="K46" s="284"/>
      <c r="L46" s="284"/>
      <c r="M46" s="284"/>
      <c r="N46" s="284"/>
      <c r="O46" s="287"/>
      <c r="P46" s="287"/>
      <c r="Q46" s="287"/>
      <c r="R46" s="287"/>
      <c r="S46" s="287"/>
      <c r="T46" s="287"/>
      <c r="U46" s="287"/>
      <c r="V46" s="3"/>
      <c r="W46" s="3"/>
      <c r="X46" s="3"/>
      <c r="Y46" s="3"/>
      <c r="Z46" s="3"/>
      <c r="AA46" s="3"/>
      <c r="AB46" s="3"/>
      <c r="AC46" s="3"/>
      <c r="AD46" s="3"/>
    </row>
    <row r="47" spans="1:30" ht="37.5" customHeight="1" thickBot="1" x14ac:dyDescent="0.3">
      <c r="A47" s="3"/>
      <c r="B47" s="281"/>
      <c r="C47" s="641" t="s">
        <v>83</v>
      </c>
      <c r="D47" s="131" t="s">
        <v>84</v>
      </c>
      <c r="E47" s="292" t="s">
        <v>85</v>
      </c>
      <c r="F47" s="284"/>
      <c r="G47" s="284"/>
      <c r="H47" s="284"/>
      <c r="I47" s="287"/>
      <c r="J47" s="131" t="s">
        <v>84</v>
      </c>
      <c r="K47" s="292" t="s">
        <v>85</v>
      </c>
      <c r="L47" s="293"/>
      <c r="M47" s="293"/>
      <c r="N47" s="3"/>
      <c r="O47" s="3"/>
      <c r="P47" s="131" t="s">
        <v>84</v>
      </c>
      <c r="Q47" s="292" t="s">
        <v>85</v>
      </c>
      <c r="R47" s="3"/>
      <c r="S47" s="3"/>
      <c r="T47" s="3"/>
      <c r="U47" s="3"/>
      <c r="V47" s="131" t="s">
        <v>84</v>
      </c>
      <c r="W47" s="292" t="s">
        <v>85</v>
      </c>
      <c r="X47" s="3"/>
      <c r="Y47" s="3"/>
      <c r="Z47" s="3"/>
      <c r="AA47" s="3"/>
      <c r="AB47" s="3"/>
      <c r="AC47" s="3"/>
      <c r="AD47" s="3"/>
    </row>
    <row r="48" spans="1:30" ht="15.75" thickBot="1" x14ac:dyDescent="0.3">
      <c r="A48" s="3"/>
      <c r="B48" s="294"/>
      <c r="C48" s="643"/>
      <c r="D48" s="288">
        <v>0</v>
      </c>
      <c r="E48" s="295">
        <v>0</v>
      </c>
      <c r="F48" s="284"/>
      <c r="G48" s="284"/>
      <c r="H48" s="284"/>
      <c r="I48" s="287"/>
      <c r="J48" s="288">
        <v>0</v>
      </c>
      <c r="K48" s="295">
        <v>0</v>
      </c>
      <c r="L48" s="296"/>
      <c r="M48" s="296"/>
      <c r="N48" s="3"/>
      <c r="O48" s="3"/>
      <c r="P48" s="288">
        <v>0</v>
      </c>
      <c r="Q48" s="295">
        <v>0</v>
      </c>
      <c r="R48" s="3"/>
      <c r="S48" s="3"/>
      <c r="T48" s="3"/>
      <c r="U48" s="3"/>
      <c r="V48" s="288">
        <v>0</v>
      </c>
      <c r="W48" s="295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294"/>
      <c r="C49" s="282"/>
      <c r="D49" s="284"/>
      <c r="E49" s="284"/>
      <c r="F49" s="284"/>
      <c r="G49" s="284"/>
      <c r="H49" s="284"/>
      <c r="I49" s="287"/>
      <c r="J49" s="284"/>
      <c r="K49" s="284"/>
      <c r="L49" s="284"/>
      <c r="M49" s="284"/>
      <c r="N49" s="284"/>
      <c r="O49" s="287"/>
      <c r="P49" s="287"/>
      <c r="Q49" s="287"/>
      <c r="R49" s="287"/>
      <c r="S49" s="287"/>
      <c r="T49" s="287"/>
      <c r="U49" s="287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3"/>
      <c r="B50" s="294"/>
      <c r="C50" s="297" t="s">
        <v>86</v>
      </c>
      <c r="D50" s="298" t="s">
        <v>87</v>
      </c>
      <c r="E50" s="298" t="s">
        <v>88</v>
      </c>
      <c r="F50" s="298" t="s">
        <v>89</v>
      </c>
      <c r="G50" s="298" t="s">
        <v>90</v>
      </c>
      <c r="H50" s="284"/>
      <c r="I50" s="3"/>
      <c r="J50" s="298" t="s">
        <v>87</v>
      </c>
      <c r="K50" s="298" t="s">
        <v>88</v>
      </c>
      <c r="L50" s="298" t="s">
        <v>89</v>
      </c>
      <c r="M50" s="298" t="s">
        <v>91</v>
      </c>
      <c r="N50" s="3"/>
      <c r="O50" s="3"/>
      <c r="P50" s="298" t="s">
        <v>87</v>
      </c>
      <c r="Q50" s="298" t="s">
        <v>88</v>
      </c>
      <c r="R50" s="298" t="s">
        <v>89</v>
      </c>
      <c r="S50" s="298" t="s">
        <v>91</v>
      </c>
      <c r="T50" s="3"/>
      <c r="U50" s="3"/>
      <c r="V50" s="298" t="s">
        <v>92</v>
      </c>
      <c r="W50" s="298" t="s">
        <v>88</v>
      </c>
      <c r="X50" s="298" t="s">
        <v>89</v>
      </c>
      <c r="Y50" s="298" t="s">
        <v>91</v>
      </c>
      <c r="Z50" s="3"/>
      <c r="AA50" s="3"/>
      <c r="AB50" s="3"/>
      <c r="AC50" s="3"/>
      <c r="AD50" s="3"/>
    </row>
    <row r="51" spans="1:30" x14ac:dyDescent="0.25">
      <c r="A51" s="3"/>
      <c r="B51" s="294"/>
      <c r="C51" s="299" t="s">
        <v>93</v>
      </c>
      <c r="D51" s="300">
        <f>D52+D53+D54+D55</f>
        <v>1371.86</v>
      </c>
      <c r="E51" s="300">
        <f>E52+E53+E54+E55</f>
        <v>995.73800000000006</v>
      </c>
      <c r="F51" s="300">
        <f>F52+F53+F54+F55</f>
        <v>783.12</v>
      </c>
      <c r="G51" s="301">
        <f>D51+E51-F51</f>
        <v>1584.4780000000001</v>
      </c>
      <c r="H51" s="284"/>
      <c r="I51" s="3"/>
      <c r="J51" s="301">
        <f>J52+J53+J54+J55</f>
        <v>1326.8</v>
      </c>
      <c r="K51" s="300">
        <f>K52+K53+K54+K55</f>
        <v>648.4</v>
      </c>
      <c r="L51" s="300">
        <f>L52+L53+L54+L55</f>
        <v>458.59999999999997</v>
      </c>
      <c r="M51" s="301">
        <f>J51+K51-L51</f>
        <v>1516.6</v>
      </c>
      <c r="N51" s="3"/>
      <c r="O51" s="3"/>
      <c r="P51" s="300">
        <f>P52+P53+P54+P55</f>
        <v>1584.4560000000001</v>
      </c>
      <c r="Q51" s="300">
        <f>Q52+Q53+Q54+Q55</f>
        <v>416.31299999999999</v>
      </c>
      <c r="R51" s="300">
        <f>R52+R53+R54+R55</f>
        <v>582.92700000000002</v>
      </c>
      <c r="S51" s="301">
        <f>P51+Q51-R51</f>
        <v>1417.8420000000001</v>
      </c>
      <c r="T51" s="3"/>
      <c r="U51" s="3"/>
      <c r="V51" s="300">
        <f>V52+V53+V54+V55</f>
        <v>1417.9</v>
      </c>
      <c r="W51" s="300">
        <f>W52+W53+W54+W55</f>
        <v>633.79999999999995</v>
      </c>
      <c r="X51" s="300">
        <f>X52+X53+X54+X55</f>
        <v>451</v>
      </c>
      <c r="Y51" s="301">
        <f>V51+W51-X51</f>
        <v>1600.6999999999998</v>
      </c>
      <c r="Z51" s="3"/>
      <c r="AA51" s="3"/>
      <c r="AB51" s="3"/>
      <c r="AC51" s="3"/>
      <c r="AD51" s="3"/>
    </row>
    <row r="52" spans="1:30" x14ac:dyDescent="0.25">
      <c r="A52" s="3"/>
      <c r="B52" s="294"/>
      <c r="C52" s="299" t="s">
        <v>94</v>
      </c>
      <c r="D52" s="300">
        <v>784.1</v>
      </c>
      <c r="E52" s="300">
        <v>389.1</v>
      </c>
      <c r="F52" s="300">
        <v>352</v>
      </c>
      <c r="G52" s="301">
        <f t="shared" ref="G52:G55" si="23">D52+E52-F52</f>
        <v>821.2</v>
      </c>
      <c r="H52" s="284"/>
      <c r="I52" s="3"/>
      <c r="J52" s="301">
        <v>751.6</v>
      </c>
      <c r="K52" s="300"/>
      <c r="L52" s="300"/>
      <c r="M52" s="301">
        <f t="shared" ref="M52:M55" si="24">J52+K52-L52</f>
        <v>751.6</v>
      </c>
      <c r="N52" s="3"/>
      <c r="O52" s="3"/>
      <c r="P52" s="300">
        <v>821.15599999999995</v>
      </c>
      <c r="Q52" s="300">
        <v>107.626</v>
      </c>
      <c r="R52" s="300">
        <v>382.7</v>
      </c>
      <c r="S52" s="301">
        <f t="shared" ref="S52:S55" si="25">P52+Q52-R52</f>
        <v>546.08199999999988</v>
      </c>
      <c r="T52" s="3"/>
      <c r="U52" s="3"/>
      <c r="V52" s="300">
        <v>546.1</v>
      </c>
      <c r="W52" s="300"/>
      <c r="X52" s="300"/>
      <c r="Y52" s="301">
        <f t="shared" ref="Y52:Y55" si="26">V52+W52-X52</f>
        <v>546.1</v>
      </c>
      <c r="Z52" s="3"/>
      <c r="AA52" s="3"/>
      <c r="AB52" s="3"/>
      <c r="AC52" s="3"/>
      <c r="AD52" s="3"/>
    </row>
    <row r="53" spans="1:30" x14ac:dyDescent="0.25">
      <c r="A53" s="3"/>
      <c r="B53" s="294"/>
      <c r="C53" s="299" t="s">
        <v>95</v>
      </c>
      <c r="D53" s="300">
        <v>283.19</v>
      </c>
      <c r="E53" s="300">
        <v>399.1</v>
      </c>
      <c r="F53" s="300">
        <v>267.39999999999998</v>
      </c>
      <c r="G53" s="301">
        <f t="shared" si="23"/>
        <v>414.89</v>
      </c>
      <c r="H53" s="284"/>
      <c r="I53" s="3"/>
      <c r="J53" s="301">
        <v>213</v>
      </c>
      <c r="K53" s="300">
        <v>457.2</v>
      </c>
      <c r="L53" s="300">
        <v>267.39999999999998</v>
      </c>
      <c r="M53" s="301">
        <f t="shared" si="24"/>
        <v>402.80000000000007</v>
      </c>
      <c r="N53" s="3"/>
      <c r="O53" s="3"/>
      <c r="P53" s="300">
        <v>414.9</v>
      </c>
      <c r="Q53" s="300">
        <v>195.75200000000001</v>
      </c>
      <c r="R53" s="300">
        <v>133.5</v>
      </c>
      <c r="S53" s="301">
        <f t="shared" si="25"/>
        <v>477.15200000000004</v>
      </c>
      <c r="T53" s="3"/>
      <c r="U53" s="3"/>
      <c r="V53" s="300">
        <v>477.2</v>
      </c>
      <c r="W53" s="300">
        <v>439.7</v>
      </c>
      <c r="X53" s="300">
        <v>256.89999999999998</v>
      </c>
      <c r="Y53" s="301">
        <f t="shared" si="26"/>
        <v>660</v>
      </c>
      <c r="Z53" s="3"/>
      <c r="AA53" s="3"/>
      <c r="AB53" s="3"/>
      <c r="AC53" s="3"/>
      <c r="AD53" s="3"/>
    </row>
    <row r="54" spans="1:30" x14ac:dyDescent="0.25">
      <c r="A54" s="3"/>
      <c r="B54" s="294"/>
      <c r="C54" s="299" t="s">
        <v>96</v>
      </c>
      <c r="D54" s="300">
        <v>186.54</v>
      </c>
      <c r="E54" s="300">
        <v>16.46</v>
      </c>
      <c r="F54" s="300">
        <v>0</v>
      </c>
      <c r="G54" s="301">
        <f t="shared" si="23"/>
        <v>203</v>
      </c>
      <c r="H54" s="284"/>
      <c r="I54" s="3"/>
      <c r="J54" s="301">
        <v>203</v>
      </c>
      <c r="K54" s="300"/>
      <c r="L54" s="300"/>
      <c r="M54" s="301">
        <f t="shared" si="24"/>
        <v>203</v>
      </c>
      <c r="N54" s="3"/>
      <c r="O54" s="3"/>
      <c r="P54" s="300">
        <v>203</v>
      </c>
      <c r="Q54" s="300">
        <v>19.399999999999999</v>
      </c>
      <c r="R54" s="300">
        <v>0</v>
      </c>
      <c r="S54" s="301">
        <f t="shared" si="25"/>
        <v>222.4</v>
      </c>
      <c r="T54" s="3"/>
      <c r="U54" s="3"/>
      <c r="V54" s="300">
        <v>222.4</v>
      </c>
      <c r="W54" s="300"/>
      <c r="X54" s="300"/>
      <c r="Y54" s="301">
        <f t="shared" si="26"/>
        <v>222.4</v>
      </c>
      <c r="Z54" s="3"/>
      <c r="AA54" s="3"/>
      <c r="AB54" s="3"/>
      <c r="AC54" s="3"/>
      <c r="AD54" s="3"/>
    </row>
    <row r="55" spans="1:30" x14ac:dyDescent="0.25">
      <c r="A55" s="3"/>
      <c r="B55" s="294"/>
      <c r="C55" s="302" t="s">
        <v>97</v>
      </c>
      <c r="D55" s="300">
        <v>118.03</v>
      </c>
      <c r="E55" s="300">
        <v>191.078</v>
      </c>
      <c r="F55" s="300">
        <v>163.72</v>
      </c>
      <c r="G55" s="301">
        <f t="shared" si="23"/>
        <v>145.38800000000001</v>
      </c>
      <c r="H55" s="284"/>
      <c r="I55" s="3"/>
      <c r="J55" s="301">
        <v>159.19999999999999</v>
      </c>
      <c r="K55" s="300">
        <v>191.2</v>
      </c>
      <c r="L55" s="300">
        <v>191.2</v>
      </c>
      <c r="M55" s="301">
        <f t="shared" si="24"/>
        <v>159.19999999999999</v>
      </c>
      <c r="N55" s="3"/>
      <c r="O55" s="3"/>
      <c r="P55" s="300">
        <v>145.4</v>
      </c>
      <c r="Q55" s="300">
        <v>93.534999999999997</v>
      </c>
      <c r="R55" s="300">
        <v>66.727000000000004</v>
      </c>
      <c r="S55" s="301">
        <f t="shared" si="25"/>
        <v>172.208</v>
      </c>
      <c r="T55" s="3"/>
      <c r="U55" s="3"/>
      <c r="V55" s="300">
        <v>172.2</v>
      </c>
      <c r="W55" s="300">
        <v>194.1</v>
      </c>
      <c r="X55" s="300">
        <v>194.1</v>
      </c>
      <c r="Y55" s="301">
        <f t="shared" si="26"/>
        <v>172.19999999999996</v>
      </c>
      <c r="Z55" s="3"/>
      <c r="AA55" s="3"/>
      <c r="AB55" s="3"/>
      <c r="AC55" s="3"/>
      <c r="AD55" s="3"/>
    </row>
    <row r="56" spans="1:30" ht="10.5" customHeight="1" x14ac:dyDescent="0.25">
      <c r="A56" s="3"/>
      <c r="B56" s="294"/>
      <c r="C56" s="282"/>
      <c r="D56" s="284"/>
      <c r="E56" s="284"/>
      <c r="F56" s="284"/>
      <c r="G56" s="284"/>
      <c r="H56" s="28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3"/>
      <c r="B57" s="294"/>
      <c r="C57" s="297" t="s">
        <v>98</v>
      </c>
      <c r="D57" s="298" t="s">
        <v>99</v>
      </c>
      <c r="E57" s="298" t="s">
        <v>100</v>
      </c>
      <c r="F57" s="284"/>
      <c r="G57" s="284"/>
      <c r="H57" s="284"/>
      <c r="I57" s="287"/>
      <c r="J57" s="298" t="s">
        <v>101</v>
      </c>
      <c r="K57" s="284"/>
      <c r="L57" s="284"/>
      <c r="M57" s="284"/>
      <c r="N57" s="284"/>
      <c r="O57" s="287"/>
      <c r="P57" s="298" t="s">
        <v>102</v>
      </c>
      <c r="Q57" s="287"/>
      <c r="R57" s="287"/>
      <c r="S57" s="3"/>
      <c r="T57" s="3"/>
      <c r="U57" s="3"/>
      <c r="V57" s="737" t="s">
        <v>98</v>
      </c>
      <c r="W57" s="737"/>
      <c r="X57" s="737"/>
      <c r="Y57" s="298" t="s">
        <v>101</v>
      </c>
      <c r="Z57" s="3"/>
      <c r="AA57" s="3"/>
      <c r="AB57" s="3"/>
      <c r="AC57" s="3"/>
      <c r="AD57" s="3"/>
    </row>
    <row r="58" spans="1:30" x14ac:dyDescent="0.25">
      <c r="A58" s="3"/>
      <c r="B58" s="294"/>
      <c r="C58" s="467" t="s">
        <v>128</v>
      </c>
      <c r="D58" s="468">
        <v>40.6</v>
      </c>
      <c r="E58" s="468">
        <v>39.64</v>
      </c>
      <c r="F58" s="284"/>
      <c r="G58" s="284"/>
      <c r="H58" s="284"/>
      <c r="I58" s="287"/>
      <c r="J58" s="303">
        <v>39.6</v>
      </c>
      <c r="K58" s="284"/>
      <c r="L58" s="284"/>
      <c r="M58" s="284"/>
      <c r="N58" s="284"/>
      <c r="O58" s="287"/>
      <c r="P58" s="303">
        <v>39.93</v>
      </c>
      <c r="Q58" s="287"/>
      <c r="R58" s="287"/>
      <c r="S58" s="3"/>
      <c r="T58" s="3"/>
      <c r="U58" s="3"/>
      <c r="V58" s="728" t="s">
        <v>128</v>
      </c>
      <c r="W58" s="728"/>
      <c r="X58" s="728"/>
      <c r="Y58">
        <v>39.93</v>
      </c>
      <c r="Z58" s="3"/>
      <c r="AA58" s="3"/>
      <c r="AB58" s="3"/>
      <c r="AC58" s="3"/>
      <c r="AD58" s="3"/>
    </row>
    <row r="59" spans="1:30" x14ac:dyDescent="0.25">
      <c r="A59" s="3"/>
      <c r="B59" s="294"/>
      <c r="C59" s="469"/>
      <c r="D59" s="470"/>
      <c r="E59" s="470"/>
      <c r="F59" s="284"/>
      <c r="G59" s="284"/>
      <c r="H59" s="284"/>
      <c r="I59" s="287"/>
      <c r="J59" s="291"/>
      <c r="K59" s="284"/>
      <c r="L59" s="284"/>
      <c r="M59" s="284"/>
      <c r="N59" s="284"/>
      <c r="O59" s="287"/>
      <c r="P59" s="291"/>
      <c r="Q59" s="287"/>
      <c r="R59" s="287"/>
      <c r="S59" s="3"/>
      <c r="T59" s="3"/>
      <c r="U59" s="3"/>
      <c r="V59" s="728" t="s">
        <v>129</v>
      </c>
      <c r="W59" s="728"/>
      <c r="X59" s="728"/>
      <c r="Y59" s="303">
        <v>8.9</v>
      </c>
      <c r="Z59" s="3"/>
      <c r="AA59" s="3"/>
      <c r="AB59" s="3"/>
      <c r="AC59" s="3"/>
      <c r="AD59" s="3"/>
    </row>
    <row r="60" spans="1:30" s="3" customFormat="1" x14ac:dyDescent="0.25">
      <c r="B60" s="294"/>
      <c r="C60" s="282"/>
      <c r="D60" s="291"/>
      <c r="E60" s="291"/>
      <c r="F60" s="284"/>
      <c r="G60" s="284"/>
      <c r="H60" s="284"/>
      <c r="I60" s="287"/>
      <c r="J60" s="291"/>
      <c r="K60" s="284"/>
      <c r="L60" s="284"/>
      <c r="M60" s="284"/>
      <c r="N60" s="284"/>
      <c r="O60" s="287"/>
      <c r="P60" s="291"/>
      <c r="Q60" s="287"/>
      <c r="R60" s="287"/>
      <c r="S60" s="287"/>
      <c r="T60" s="287"/>
      <c r="U60" s="287"/>
      <c r="V60" s="291"/>
    </row>
    <row r="61" spans="1:30" x14ac:dyDescent="0.25">
      <c r="A61" s="3"/>
      <c r="B61" s="294"/>
      <c r="C61" s="282"/>
      <c r="D61" s="729"/>
      <c r="E61" s="729"/>
      <c r="F61" s="284"/>
      <c r="G61" s="284"/>
      <c r="H61" s="284"/>
      <c r="I61" s="287"/>
      <c r="J61" s="471"/>
      <c r="K61" s="284"/>
      <c r="L61" s="284"/>
      <c r="M61" s="284"/>
      <c r="N61" s="284"/>
      <c r="O61" s="287"/>
      <c r="P61" s="471"/>
      <c r="Q61" s="287"/>
      <c r="R61" s="287"/>
      <c r="S61" s="287"/>
      <c r="T61" s="287"/>
      <c r="U61" s="287"/>
      <c r="V61" s="700" t="s">
        <v>130</v>
      </c>
      <c r="W61" s="701"/>
      <c r="X61" s="702"/>
      <c r="Y61" s="303">
        <v>4316</v>
      </c>
      <c r="Z61" s="3"/>
      <c r="AA61" s="3"/>
      <c r="AB61" s="3"/>
      <c r="AC61" s="3"/>
      <c r="AD61" s="3"/>
    </row>
    <row r="62" spans="1:30" s="3" customFormat="1" x14ac:dyDescent="0.25">
      <c r="B62" s="294"/>
      <c r="C62" s="282"/>
      <c r="D62" s="471"/>
      <c r="E62" s="471"/>
      <c r="F62" s="284"/>
      <c r="G62" s="284"/>
      <c r="H62" s="284"/>
      <c r="I62" s="287"/>
      <c r="J62" s="471"/>
      <c r="K62" s="284"/>
      <c r="L62" s="284"/>
      <c r="M62" s="284"/>
      <c r="N62" s="284"/>
      <c r="O62" s="287"/>
      <c r="P62" s="471"/>
      <c r="Q62" s="287"/>
      <c r="R62" s="287"/>
      <c r="S62" s="287"/>
      <c r="T62" s="287"/>
      <c r="U62" s="287"/>
      <c r="V62" s="291"/>
    </row>
    <row r="63" spans="1:30" x14ac:dyDescent="0.25">
      <c r="A63" s="3"/>
      <c r="B63" s="294"/>
      <c r="C63" s="3"/>
      <c r="D63" s="3"/>
      <c r="E63" s="3"/>
      <c r="F63" s="283"/>
      <c r="G63" s="284"/>
      <c r="H63" s="284"/>
      <c r="I63" s="287"/>
      <c r="J63" s="471"/>
      <c r="K63" s="471"/>
      <c r="L63" s="3"/>
      <c r="M63" s="172"/>
      <c r="N63" s="3"/>
      <c r="O63" s="3"/>
      <c r="P63" s="3"/>
      <c r="Q63" s="283"/>
      <c r="R63" s="3"/>
      <c r="S63" s="3"/>
      <c r="T63" s="3"/>
      <c r="U63" s="736" t="s">
        <v>131</v>
      </c>
      <c r="V63" s="736"/>
      <c r="W63" s="736"/>
      <c r="X63" s="736"/>
      <c r="Y63" s="474" t="s">
        <v>132</v>
      </c>
      <c r="Z63" s="3"/>
      <c r="AA63" s="378" t="s">
        <v>133</v>
      </c>
      <c r="AB63" s="379"/>
      <c r="AC63" s="3"/>
    </row>
    <row r="64" spans="1:30" x14ac:dyDescent="0.25">
      <c r="A64" s="3"/>
      <c r="B64" s="294"/>
      <c r="C64" s="3"/>
      <c r="D64" s="3"/>
      <c r="E64" s="3"/>
      <c r="F64" s="284"/>
      <c r="G64" s="284"/>
      <c r="H64" s="284"/>
      <c r="I64" s="287"/>
      <c r="J64" s="471"/>
      <c r="K64" s="471"/>
      <c r="L64" s="3"/>
      <c r="M64" s="172"/>
      <c r="N64" s="3"/>
      <c r="O64" s="3"/>
      <c r="P64" s="3"/>
      <c r="Q64" s="284"/>
      <c r="R64" s="3"/>
      <c r="S64" s="3"/>
      <c r="T64" s="3"/>
      <c r="U64" s="728" t="s">
        <v>134</v>
      </c>
      <c r="V64" s="728"/>
      <c r="W64" s="728"/>
      <c r="X64" s="728"/>
      <c r="Y64" s="380">
        <v>4295.6000000000004</v>
      </c>
      <c r="Z64" s="3"/>
      <c r="AA64" s="475" t="s">
        <v>135</v>
      </c>
      <c r="AB64" s="476">
        <v>288</v>
      </c>
      <c r="AC64" s="3"/>
    </row>
    <row r="65" spans="1:30" x14ac:dyDescent="0.25">
      <c r="A65" s="3"/>
      <c r="B65" s="294"/>
      <c r="C65" s="3"/>
      <c r="D65" s="3"/>
      <c r="E65" s="3"/>
      <c r="F65" s="284"/>
      <c r="G65" s="284"/>
      <c r="H65" s="284"/>
      <c r="I65" s="287"/>
      <c r="J65" s="471"/>
      <c r="K65" s="471"/>
      <c r="L65" s="3"/>
      <c r="M65" s="172"/>
      <c r="N65" s="3"/>
      <c r="O65" s="3"/>
      <c r="P65" s="3"/>
      <c r="Q65" s="284"/>
      <c r="R65" s="3"/>
      <c r="S65" s="3"/>
      <c r="T65" s="3"/>
      <c r="U65" s="728" t="s">
        <v>136</v>
      </c>
      <c r="V65" s="728"/>
      <c r="W65" s="728"/>
      <c r="X65" s="728"/>
      <c r="Y65" s="380">
        <v>1474</v>
      </c>
      <c r="Z65" s="3"/>
      <c r="AA65" s="475" t="s">
        <v>137</v>
      </c>
      <c r="AB65" s="476">
        <v>128.9</v>
      </c>
      <c r="AC65" s="3"/>
    </row>
    <row r="66" spans="1:30" x14ac:dyDescent="0.25">
      <c r="A66" s="3"/>
      <c r="B66" s="294"/>
      <c r="C66" s="3"/>
      <c r="D66" s="3"/>
      <c r="E66" s="3"/>
      <c r="F66" s="284"/>
      <c r="G66" s="284"/>
      <c r="H66" s="284"/>
      <c r="I66" s="287"/>
      <c r="J66" s="471"/>
      <c r="K66" s="471"/>
      <c r="L66" s="3"/>
      <c r="M66" s="172"/>
      <c r="N66" s="3"/>
      <c r="O66" s="3"/>
      <c r="P66" s="3"/>
      <c r="Q66" s="284"/>
      <c r="R66" s="3"/>
      <c r="S66" s="3"/>
      <c r="T66" s="3"/>
      <c r="U66" s="728" t="s">
        <v>138</v>
      </c>
      <c r="V66" s="728"/>
      <c r="W66" s="728"/>
      <c r="X66" s="728"/>
      <c r="Y66" s="380">
        <v>20.399999999999999</v>
      </c>
      <c r="Z66" s="3"/>
      <c r="AA66" s="475" t="s">
        <v>139</v>
      </c>
      <c r="AB66" s="476">
        <v>1047</v>
      </c>
      <c r="AC66" s="3"/>
    </row>
    <row r="67" spans="1:30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172"/>
      <c r="N67" s="3"/>
      <c r="O67" s="3"/>
      <c r="P67" s="3"/>
      <c r="Q67" s="3"/>
      <c r="R67" s="3"/>
      <c r="S67" s="3"/>
      <c r="T67" s="3"/>
      <c r="U67" s="728" t="s">
        <v>140</v>
      </c>
      <c r="V67" s="728"/>
      <c r="W67" s="728"/>
      <c r="X67" s="728"/>
      <c r="Y67" s="380">
        <v>42.9</v>
      </c>
      <c r="Z67" s="3"/>
      <c r="AA67" s="3"/>
      <c r="AB67" s="3"/>
      <c r="AC67" s="3"/>
    </row>
    <row r="68" spans="1:30" x14ac:dyDescent="0.25">
      <c r="A68" s="3"/>
      <c r="B68" s="294"/>
      <c r="C68" s="3"/>
      <c r="D68" s="3"/>
      <c r="E68" s="3"/>
      <c r="F68" s="284"/>
      <c r="G68" s="284"/>
      <c r="H68" s="284"/>
      <c r="I68" s="287"/>
      <c r="J68" s="296"/>
      <c r="K68" s="296"/>
      <c r="L68" s="3"/>
      <c r="M68" s="172"/>
      <c r="N68" s="3"/>
      <c r="O68" s="3"/>
      <c r="P68" s="3"/>
      <c r="Q68" s="284"/>
      <c r="R68" s="3"/>
      <c r="S68" s="3"/>
      <c r="T68" s="3"/>
      <c r="U68" s="728" t="s">
        <v>141</v>
      </c>
      <c r="V68" s="728"/>
      <c r="W68" s="728"/>
      <c r="X68" s="728"/>
      <c r="Y68" s="477">
        <f>SUM(Y69:Y72)</f>
        <v>155.19999999999999</v>
      </c>
      <c r="Z68" s="3"/>
      <c r="AA68" s="3"/>
      <c r="AB68" s="3"/>
      <c r="AC68" s="3"/>
    </row>
    <row r="69" spans="1:30" x14ac:dyDescent="0.25">
      <c r="A69" s="3"/>
      <c r="B69" s="294"/>
      <c r="C69" s="3"/>
      <c r="D69" s="3"/>
      <c r="E69" s="3"/>
      <c r="F69" s="284"/>
      <c r="G69" s="284"/>
      <c r="H69" s="284"/>
      <c r="I69" s="287"/>
      <c r="J69" s="471"/>
      <c r="K69" s="471"/>
      <c r="L69" s="3"/>
      <c r="M69" s="172"/>
      <c r="N69" s="3"/>
      <c r="O69" s="3"/>
      <c r="P69" s="3"/>
      <c r="Q69" s="284"/>
      <c r="R69" s="3"/>
      <c r="S69" s="3"/>
      <c r="T69" s="3"/>
      <c r="U69" s="727" t="s">
        <v>142</v>
      </c>
      <c r="V69" s="727"/>
      <c r="W69" s="727"/>
      <c r="X69" s="727"/>
      <c r="Y69" s="380">
        <v>50</v>
      </c>
      <c r="Z69" s="3"/>
      <c r="AA69" s="3"/>
      <c r="AB69" s="3"/>
      <c r="AC69" s="3"/>
    </row>
    <row r="70" spans="1:30" x14ac:dyDescent="0.25">
      <c r="A70" s="3"/>
      <c r="B70" s="294"/>
      <c r="C70" s="3"/>
      <c r="D70" s="3"/>
      <c r="E70" s="3"/>
      <c r="F70" s="284"/>
      <c r="G70" s="284"/>
      <c r="H70" s="284"/>
      <c r="I70" s="287"/>
      <c r="J70" s="471"/>
      <c r="K70" s="471"/>
      <c r="L70" s="3"/>
      <c r="M70" s="172"/>
      <c r="N70" s="3"/>
      <c r="O70" s="3"/>
      <c r="P70" s="3"/>
      <c r="Q70" s="284"/>
      <c r="R70" s="3"/>
      <c r="S70" s="3"/>
      <c r="T70" s="3"/>
      <c r="U70" s="727" t="s">
        <v>143</v>
      </c>
      <c r="V70" s="727"/>
      <c r="W70" s="727"/>
      <c r="X70" s="727"/>
      <c r="Y70" s="380">
        <v>20</v>
      </c>
      <c r="Z70" s="3"/>
      <c r="AA70" s="3"/>
      <c r="AB70" s="3"/>
      <c r="AC70" s="3"/>
    </row>
    <row r="71" spans="1:30" x14ac:dyDescent="0.25">
      <c r="A71" s="3"/>
      <c r="B71" s="294"/>
      <c r="C71" s="3"/>
      <c r="D71" s="3"/>
      <c r="E71" s="3"/>
      <c r="F71" s="284"/>
      <c r="G71" s="284"/>
      <c r="H71" s="284"/>
      <c r="I71" s="287"/>
      <c r="J71" s="471"/>
      <c r="K71" s="471"/>
      <c r="L71" s="3"/>
      <c r="M71" s="172"/>
      <c r="N71" s="3"/>
      <c r="O71" s="3"/>
      <c r="P71" s="3"/>
      <c r="Q71" s="284"/>
      <c r="R71" s="3"/>
      <c r="S71" s="3"/>
      <c r="T71" s="3"/>
      <c r="U71" s="727" t="s">
        <v>144</v>
      </c>
      <c r="V71" s="727"/>
      <c r="W71" s="727"/>
      <c r="X71" s="727"/>
      <c r="Y71" s="380">
        <v>0</v>
      </c>
      <c r="Z71" s="3"/>
      <c r="AA71" s="3"/>
      <c r="AB71" s="3"/>
      <c r="AC71" s="3"/>
    </row>
    <row r="72" spans="1:30" x14ac:dyDescent="0.25">
      <c r="A72" s="3"/>
      <c r="B72" s="294"/>
      <c r="C72" s="3"/>
      <c r="D72" s="3"/>
      <c r="E72" s="3"/>
      <c r="F72" s="284"/>
      <c r="G72" s="284"/>
      <c r="H72" s="284"/>
      <c r="I72" s="287"/>
      <c r="J72" s="471"/>
      <c r="K72" s="471"/>
      <c r="L72" s="3"/>
      <c r="M72" s="172"/>
      <c r="N72" s="3"/>
      <c r="O72" s="3"/>
      <c r="P72" s="3"/>
      <c r="Q72" s="284"/>
      <c r="R72" s="3"/>
      <c r="S72" s="3"/>
      <c r="T72" s="3"/>
      <c r="U72" s="727" t="s">
        <v>145</v>
      </c>
      <c r="V72" s="727"/>
      <c r="W72" s="727"/>
      <c r="X72" s="727"/>
      <c r="Y72" s="380">
        <v>85.2</v>
      </c>
      <c r="Z72" s="3"/>
      <c r="AA72" s="3"/>
      <c r="AB72" s="3"/>
      <c r="AC72" s="3"/>
    </row>
    <row r="73" spans="1:30" x14ac:dyDescent="0.25">
      <c r="A73" s="3"/>
      <c r="B73" s="294"/>
      <c r="C73" s="478"/>
      <c r="D73" s="284"/>
      <c r="E73" s="284"/>
      <c r="F73" s="284"/>
      <c r="G73" s="284"/>
      <c r="H73" s="284"/>
      <c r="I73" s="287"/>
      <c r="J73" s="284"/>
      <c r="K73" s="284"/>
      <c r="L73" s="3"/>
      <c r="M73" s="172"/>
      <c r="N73" s="3"/>
      <c r="O73" s="3"/>
      <c r="P73" s="3"/>
      <c r="Q73" s="384"/>
      <c r="R73" s="3"/>
      <c r="S73" s="3"/>
      <c r="T73" s="3"/>
      <c r="U73" s="287"/>
      <c r="V73" s="287"/>
      <c r="W73" s="287"/>
      <c r="X73" s="284"/>
      <c r="Y73" s="284">
        <f>SUM(Y64:Y68)</f>
        <v>5988.0999999999995</v>
      </c>
      <c r="Z73" s="3"/>
      <c r="AA73" s="3"/>
      <c r="AB73" s="3"/>
      <c r="AC73" s="3"/>
    </row>
    <row r="74" spans="1:30" x14ac:dyDescent="0.25">
      <c r="A74" s="3"/>
      <c r="B74" s="294"/>
      <c r="C74" s="282"/>
      <c r="D74" s="284"/>
      <c r="E74" s="284"/>
      <c r="F74" s="284"/>
      <c r="G74" s="284"/>
      <c r="H74" s="284"/>
      <c r="I74" s="287"/>
      <c r="J74" s="284"/>
      <c r="K74" s="284"/>
      <c r="L74" s="284"/>
      <c r="M74" s="284"/>
      <c r="N74" s="284"/>
      <c r="O74" s="287"/>
      <c r="P74" s="284"/>
      <c r="Q74" s="284"/>
      <c r="R74" s="284"/>
      <c r="S74" s="287"/>
      <c r="T74" s="287"/>
      <c r="U74" s="287"/>
      <c r="V74" s="284"/>
      <c r="W74" s="284"/>
      <c r="X74" s="284"/>
      <c r="Y74" s="3"/>
      <c r="Z74" s="3"/>
      <c r="AA74" s="3"/>
      <c r="AB74" s="3"/>
      <c r="AC74" s="3"/>
      <c r="AD74" s="3"/>
    </row>
    <row r="75" spans="1:30" x14ac:dyDescent="0.25">
      <c r="A75" s="3"/>
      <c r="B75" s="304" t="s">
        <v>103</v>
      </c>
      <c r="C75" s="305"/>
      <c r="D75" s="644"/>
      <c r="E75" s="644"/>
      <c r="F75" s="644"/>
      <c r="G75" s="644"/>
      <c r="H75" s="644"/>
      <c r="I75" s="644"/>
      <c r="J75" s="644"/>
      <c r="K75" s="644"/>
      <c r="L75" s="644"/>
      <c r="M75" s="644"/>
      <c r="N75" s="644"/>
      <c r="O75" s="644"/>
      <c r="P75" s="644"/>
      <c r="Q75" s="644"/>
      <c r="R75" s="644"/>
      <c r="S75" s="644"/>
      <c r="T75" s="644"/>
      <c r="U75" s="644"/>
      <c r="V75" s="306"/>
      <c r="W75" s="306"/>
      <c r="X75" s="306"/>
      <c r="Y75" s="306"/>
      <c r="Z75" s="306"/>
      <c r="AA75" s="306"/>
      <c r="AB75" s="307"/>
      <c r="AC75" s="3"/>
      <c r="AD75" s="3"/>
    </row>
    <row r="76" spans="1:30" ht="15.75" x14ac:dyDescent="0.25">
      <c r="A76" s="3" t="s">
        <v>256</v>
      </c>
      <c r="B76" s="483"/>
      <c r="C76" s="484"/>
      <c r="D76" s="484"/>
      <c r="E76" s="484"/>
      <c r="F76" s="484"/>
      <c r="G76" s="484"/>
      <c r="H76" s="484"/>
      <c r="I76" s="484"/>
      <c r="J76" s="484"/>
      <c r="K76" s="484"/>
      <c r="L76" s="484"/>
      <c r="M76" s="484"/>
      <c r="N76" s="484"/>
      <c r="O76" s="484"/>
      <c r="P76" s="484"/>
      <c r="Q76" s="484"/>
      <c r="R76" s="484"/>
      <c r="S76" s="484"/>
      <c r="AB76" s="309"/>
      <c r="AC76" s="3"/>
      <c r="AD76" s="3"/>
    </row>
    <row r="77" spans="1:30" ht="15.75" x14ac:dyDescent="0.25">
      <c r="A77" s="3"/>
      <c r="B77" s="741" t="s">
        <v>257</v>
      </c>
      <c r="C77" s="742"/>
      <c r="D77" s="742"/>
      <c r="E77" s="742"/>
      <c r="F77" s="742"/>
      <c r="G77" s="742"/>
      <c r="H77" s="742"/>
      <c r="I77" s="742"/>
      <c r="J77" s="742"/>
      <c r="K77" s="742"/>
      <c r="L77" s="742"/>
      <c r="M77" s="742"/>
      <c r="N77" s="742"/>
      <c r="O77" s="742"/>
      <c r="P77" s="742"/>
      <c r="Q77" s="742"/>
      <c r="R77" s="742"/>
      <c r="S77" s="742"/>
      <c r="T77" s="742"/>
      <c r="U77" s="742"/>
      <c r="AB77" s="309"/>
      <c r="AC77" s="3"/>
      <c r="AD77" s="3"/>
    </row>
    <row r="78" spans="1:30" ht="15.75" x14ac:dyDescent="0.25">
      <c r="A78" s="3"/>
      <c r="B78" s="483" t="s">
        <v>258</v>
      </c>
      <c r="C78" s="484"/>
      <c r="D78" s="484"/>
      <c r="E78" s="484"/>
      <c r="F78" s="484"/>
      <c r="G78" s="484"/>
      <c r="H78" s="484"/>
      <c r="I78" s="484"/>
      <c r="J78" s="484"/>
      <c r="K78" s="484"/>
      <c r="L78" s="484"/>
      <c r="M78" s="484"/>
      <c r="N78" s="484"/>
      <c r="O78" s="484"/>
      <c r="P78" s="484"/>
      <c r="Q78" s="484"/>
      <c r="R78" s="484"/>
      <c r="S78" s="484"/>
      <c r="AB78" s="309"/>
      <c r="AC78" s="3"/>
      <c r="AD78" s="3"/>
    </row>
    <row r="79" spans="1:30" ht="15.75" x14ac:dyDescent="0.25">
      <c r="A79" s="3"/>
      <c r="B79" s="741" t="s">
        <v>259</v>
      </c>
      <c r="C79" s="742"/>
      <c r="D79" s="742"/>
      <c r="E79" s="742"/>
      <c r="F79" s="742"/>
      <c r="G79" s="742"/>
      <c r="H79" s="742"/>
      <c r="I79" s="742"/>
      <c r="J79" s="742"/>
      <c r="K79" s="742"/>
      <c r="L79" s="742"/>
      <c r="M79" s="742"/>
      <c r="N79" s="742"/>
      <c r="O79" s="742"/>
      <c r="P79" s="742"/>
      <c r="Q79" s="742"/>
      <c r="R79" s="742"/>
      <c r="S79" s="742"/>
      <c r="T79" s="742"/>
      <c r="U79" s="742"/>
      <c r="AB79" s="309"/>
      <c r="AC79" s="3"/>
      <c r="AD79" s="3"/>
    </row>
    <row r="80" spans="1:30" ht="18.75" customHeight="1" x14ac:dyDescent="0.25">
      <c r="A80" s="3"/>
      <c r="B80" s="741" t="s">
        <v>260</v>
      </c>
      <c r="C80" s="742"/>
      <c r="D80" s="742"/>
      <c r="E80" s="742"/>
      <c r="F80" s="742"/>
      <c r="G80" s="742"/>
      <c r="H80" s="742"/>
      <c r="I80" s="742"/>
      <c r="J80" s="742"/>
      <c r="K80" s="742"/>
      <c r="L80" s="742"/>
      <c r="M80" s="742"/>
      <c r="N80" s="742"/>
      <c r="O80" s="742"/>
      <c r="P80" s="742"/>
      <c r="Q80" s="742"/>
      <c r="R80" s="742"/>
      <c r="S80" s="742"/>
      <c r="T80" s="742"/>
      <c r="U80" s="742"/>
      <c r="AB80" s="309"/>
      <c r="AC80" s="3"/>
      <c r="AD80" s="3"/>
    </row>
    <row r="81" spans="1:30" x14ac:dyDescent="0.25">
      <c r="A81" s="3"/>
      <c r="B81" s="310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AB81" s="309"/>
      <c r="AC81" s="3"/>
      <c r="AD81" s="3"/>
    </row>
    <row r="82" spans="1:30" x14ac:dyDescent="0.25">
      <c r="A82" s="3"/>
      <c r="B82" s="310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AB82" s="309"/>
      <c r="AC82" s="3"/>
      <c r="AD82" s="3"/>
    </row>
    <row r="83" spans="1:30" x14ac:dyDescent="0.25">
      <c r="A83" s="3"/>
      <c r="B83" s="310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AB83" s="309"/>
      <c r="AC83" s="3"/>
      <c r="AD83" s="3"/>
    </row>
    <row r="84" spans="1:30" x14ac:dyDescent="0.25">
      <c r="A84" s="3"/>
      <c r="B84" s="310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AB84" s="309"/>
      <c r="AC84" s="3"/>
      <c r="AD84" s="3"/>
    </row>
    <row r="85" spans="1:30" x14ac:dyDescent="0.25">
      <c r="A85" s="3"/>
      <c r="B85" s="310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AB85" s="309"/>
      <c r="AC85" s="3"/>
      <c r="AD85" s="3"/>
    </row>
    <row r="86" spans="1:30" x14ac:dyDescent="0.25">
      <c r="A86" s="3"/>
      <c r="B86" s="310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AB86" s="309"/>
      <c r="AC86" s="3"/>
      <c r="AD86" s="3"/>
    </row>
    <row r="87" spans="1:30" x14ac:dyDescent="0.25">
      <c r="A87" s="3"/>
      <c r="B87" s="310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AB87" s="309"/>
      <c r="AC87" s="3"/>
      <c r="AD87" s="3"/>
    </row>
    <row r="88" spans="1:30" x14ac:dyDescent="0.25">
      <c r="A88" s="3"/>
      <c r="B88" s="310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AB88" s="309"/>
      <c r="AC88" s="3"/>
      <c r="AD88" s="3"/>
    </row>
    <row r="89" spans="1:30" x14ac:dyDescent="0.25">
      <c r="A89" s="3"/>
      <c r="B89" s="31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AB89" s="309"/>
      <c r="AC89" s="3"/>
      <c r="AD89" s="3"/>
    </row>
    <row r="90" spans="1:30" x14ac:dyDescent="0.25">
      <c r="A90" s="3"/>
      <c r="B90" s="310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AB90" s="309"/>
      <c r="AC90" s="3"/>
      <c r="AD90" s="3"/>
    </row>
    <row r="91" spans="1:30" x14ac:dyDescent="0.25">
      <c r="A91" s="3"/>
      <c r="B91" s="310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AB91" s="309"/>
      <c r="AC91" s="3"/>
      <c r="AD91" s="3"/>
    </row>
    <row r="92" spans="1:30" x14ac:dyDescent="0.25">
      <c r="A92" s="3"/>
      <c r="B92" s="314"/>
      <c r="C92" s="315"/>
      <c r="D92" s="316"/>
      <c r="E92" s="316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8"/>
      <c r="W92" s="318"/>
      <c r="X92" s="318"/>
      <c r="Y92" s="318"/>
      <c r="Z92" s="318"/>
      <c r="AA92" s="318"/>
      <c r="AB92" s="319"/>
      <c r="AC92" s="3"/>
      <c r="AD92" s="3"/>
    </row>
    <row r="93" spans="1:30" x14ac:dyDescent="0.25">
      <c r="A93" s="3"/>
      <c r="B93" s="320"/>
      <c r="C93" s="321"/>
      <c r="D93" s="320"/>
      <c r="E93" s="320"/>
      <c r="F93" s="322"/>
      <c r="G93" s="322"/>
      <c r="H93" s="322"/>
      <c r="I93" s="322"/>
      <c r="J93" s="322"/>
      <c r="K93" s="322"/>
      <c r="L93" s="322"/>
      <c r="M93" s="322"/>
      <c r="N93" s="322"/>
      <c r="O93" s="322"/>
      <c r="P93" s="322"/>
      <c r="Q93" s="322"/>
      <c r="R93" s="322"/>
      <c r="S93" s="322"/>
      <c r="T93" s="322"/>
      <c r="U93" s="322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3"/>
      <c r="B94" s="320"/>
      <c r="C94" s="321"/>
      <c r="D94" s="320"/>
      <c r="E94" s="320"/>
      <c r="F94" s="322"/>
      <c r="G94" s="322"/>
      <c r="H94" s="322"/>
      <c r="I94" s="322"/>
      <c r="J94" s="322"/>
      <c r="K94" s="322"/>
      <c r="L94" s="322"/>
      <c r="M94" s="322"/>
      <c r="N94" s="322"/>
      <c r="O94" s="322"/>
      <c r="P94" s="322"/>
      <c r="Q94" s="322"/>
      <c r="R94" s="322"/>
      <c r="S94" s="322"/>
      <c r="T94" s="322"/>
      <c r="U94" s="322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3"/>
      <c r="B95" s="323"/>
      <c r="C95" s="323"/>
      <c r="D95" s="323"/>
      <c r="E95" s="323"/>
      <c r="F95" s="323"/>
      <c r="G95" s="323"/>
      <c r="H95" s="323"/>
      <c r="I95" s="323"/>
      <c r="J95" s="323"/>
      <c r="K95" s="323"/>
      <c r="L95" s="323"/>
      <c r="M95" s="323"/>
      <c r="N95" s="323"/>
      <c r="O95" s="323"/>
      <c r="P95" s="323"/>
      <c r="Q95" s="323"/>
      <c r="R95" s="323"/>
      <c r="S95" s="323"/>
      <c r="T95" s="323"/>
      <c r="U95" s="323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3"/>
      <c r="B96" s="323" t="s">
        <v>104</v>
      </c>
      <c r="C96" s="324">
        <v>45919</v>
      </c>
      <c r="D96" s="323" t="s">
        <v>105</v>
      </c>
      <c r="E96" s="635" t="s">
        <v>261</v>
      </c>
      <c r="F96" s="635"/>
      <c r="G96" s="635"/>
      <c r="H96" s="323"/>
      <c r="I96" s="323" t="s">
        <v>107</v>
      </c>
      <c r="J96" s="636" t="s">
        <v>262</v>
      </c>
      <c r="K96" s="636"/>
      <c r="L96" s="636"/>
      <c r="M96" s="636"/>
      <c r="N96" s="323"/>
      <c r="O96" s="323"/>
      <c r="P96" s="323"/>
      <c r="Q96" s="323"/>
      <c r="R96" s="323"/>
      <c r="S96" s="323"/>
      <c r="T96" s="323"/>
      <c r="U96" s="323"/>
      <c r="V96" s="3"/>
      <c r="W96" s="3"/>
      <c r="X96" s="3"/>
      <c r="Y96" s="3"/>
      <c r="Z96" s="3"/>
      <c r="AA96" s="3"/>
      <c r="AB96" s="3"/>
      <c r="AC96" s="3"/>
      <c r="AD96" s="3"/>
    </row>
    <row r="97" spans="1:30" ht="7.5" customHeight="1" x14ac:dyDescent="0.25">
      <c r="A97" s="3"/>
      <c r="B97" s="323"/>
      <c r="C97" s="323"/>
      <c r="D97" s="323"/>
      <c r="E97" s="323"/>
      <c r="F97" s="323"/>
      <c r="G97" s="323"/>
      <c r="H97" s="323"/>
      <c r="I97" s="323"/>
      <c r="J97" s="323"/>
      <c r="K97" s="323"/>
      <c r="L97" s="323"/>
      <c r="M97" s="323"/>
      <c r="N97" s="323"/>
      <c r="O97" s="323"/>
      <c r="P97" s="323"/>
      <c r="Q97" s="323"/>
      <c r="R97" s="323"/>
      <c r="S97" s="323"/>
      <c r="T97" s="323"/>
      <c r="U97" s="323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3"/>
      <c r="B98" s="323"/>
      <c r="C98" s="323"/>
      <c r="D98" s="323" t="s">
        <v>109</v>
      </c>
      <c r="E98" s="325"/>
      <c r="F98" s="325"/>
      <c r="G98" s="325"/>
      <c r="H98" s="323"/>
      <c r="I98" s="323" t="s">
        <v>109</v>
      </c>
      <c r="J98" s="326"/>
      <c r="K98" s="326"/>
      <c r="L98" s="326"/>
      <c r="M98" s="326"/>
      <c r="N98" s="323"/>
      <c r="O98" s="323"/>
      <c r="P98" s="323"/>
      <c r="Q98" s="323"/>
      <c r="R98" s="323"/>
      <c r="S98" s="323"/>
      <c r="T98" s="323"/>
      <c r="U98" s="323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3"/>
      <c r="B99" s="323"/>
      <c r="C99" s="323"/>
      <c r="D99" s="323"/>
      <c r="E99" s="325"/>
      <c r="F99" s="325"/>
      <c r="G99" s="325"/>
      <c r="H99" s="323"/>
      <c r="I99" s="323"/>
      <c r="J99" s="326"/>
      <c r="K99" s="326"/>
      <c r="L99" s="326"/>
      <c r="M99" s="326"/>
      <c r="N99" s="323"/>
      <c r="O99" s="323"/>
      <c r="P99" s="323"/>
      <c r="Q99" s="323"/>
      <c r="R99" s="323"/>
      <c r="S99" s="323"/>
      <c r="T99" s="323"/>
      <c r="U99" s="323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3"/>
      <c r="B100" s="323"/>
      <c r="C100" s="323"/>
      <c r="D100" s="323"/>
      <c r="E100" s="323"/>
      <c r="F100" s="323"/>
      <c r="G100" s="323"/>
      <c r="H100" s="323"/>
      <c r="I100" s="323"/>
      <c r="J100" s="323"/>
      <c r="K100" s="323"/>
      <c r="L100" s="323"/>
      <c r="M100" s="323"/>
      <c r="N100" s="323"/>
      <c r="O100" s="323"/>
      <c r="P100" s="323"/>
      <c r="Q100" s="323"/>
      <c r="R100" s="323"/>
      <c r="S100" s="323"/>
      <c r="T100" s="323"/>
      <c r="U100" s="32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3"/>
      <c r="B101" s="323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"/>
      <c r="W101" s="3"/>
      <c r="X101" s="3"/>
      <c r="Y101" s="3"/>
      <c r="Z101" s="3"/>
      <c r="AA101" s="3"/>
      <c r="AB101" s="3"/>
      <c r="AC101" s="3"/>
      <c r="AD101" s="3"/>
    </row>
    <row r="118" ht="15" hidden="1" customHeight="1" x14ac:dyDescent="0.25"/>
    <row r="132" ht="15" hidden="1" customHeight="1" x14ac:dyDescent="0.25"/>
    <row r="133" ht="15" hidden="1" customHeight="1" x14ac:dyDescent="0.25"/>
  </sheetData>
  <mergeCells count="79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6:AB28"/>
    <mergeCell ref="J27:L27"/>
    <mergeCell ref="M27:M28"/>
    <mergeCell ref="N27:N28"/>
    <mergeCell ref="O27:O28"/>
    <mergeCell ref="AA13:AA14"/>
    <mergeCell ref="D26:I26"/>
    <mergeCell ref="J26:O26"/>
    <mergeCell ref="P26:U26"/>
    <mergeCell ref="V26:AA26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27:B28"/>
    <mergeCell ref="C27:C28"/>
    <mergeCell ref="D27:F27"/>
    <mergeCell ref="G27:G28"/>
    <mergeCell ref="H27:H28"/>
    <mergeCell ref="U65:X65"/>
    <mergeCell ref="Z27:Z28"/>
    <mergeCell ref="AA27:AA28"/>
    <mergeCell ref="C44:C45"/>
    <mergeCell ref="C47:C48"/>
    <mergeCell ref="V57:X57"/>
    <mergeCell ref="V58:X58"/>
    <mergeCell ref="P27:R27"/>
    <mergeCell ref="S27:S28"/>
    <mergeCell ref="T27:T28"/>
    <mergeCell ref="U27:U28"/>
    <mergeCell ref="V27:X27"/>
    <mergeCell ref="Y27:Y28"/>
    <mergeCell ref="I27:I28"/>
    <mergeCell ref="V59:X59"/>
    <mergeCell ref="D61:E61"/>
    <mergeCell ref="V61:X61"/>
    <mergeCell ref="U63:X63"/>
    <mergeCell ref="U64:X64"/>
    <mergeCell ref="E96:G96"/>
    <mergeCell ref="J96:M96"/>
    <mergeCell ref="U66:X66"/>
    <mergeCell ref="U67:X67"/>
    <mergeCell ref="U68:X68"/>
    <mergeCell ref="U69:X69"/>
    <mergeCell ref="U70:X70"/>
    <mergeCell ref="U71:X71"/>
    <mergeCell ref="U72:X72"/>
    <mergeCell ref="D75:U75"/>
    <mergeCell ref="B77:U77"/>
    <mergeCell ref="B79:U79"/>
    <mergeCell ref="B80:U80"/>
  </mergeCells>
  <conditionalFormatting sqref="AB15:AB26 AB29:AB42">
    <cfRule type="cellIs" dxfId="17" priority="1" operator="equal">
      <formula>0</formula>
    </cfRule>
    <cfRule type="containsErrors" dxfId="16" priority="2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0000"/>
    <pageSetUpPr fitToPage="1"/>
  </sheetPr>
  <dimension ref="A1:AD294"/>
  <sheetViews>
    <sheetView showGridLines="0" zoomScale="80" zoomScaleNormal="80" zoomScaleSheetLayoutView="80" workbookViewId="0">
      <selection activeCell="C88" sqref="C8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5.140625" customWidth="1"/>
    <col min="6" max="6" width="14.140625" customWidth="1"/>
    <col min="7" max="7" width="17.85546875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4.7109375" customWidth="1"/>
    <col min="13" max="13" width="19.7109375" style="171" customWidth="1"/>
    <col min="14" max="14" width="13.28515625" customWidth="1"/>
    <col min="15" max="15" width="13.85546875" customWidth="1"/>
    <col min="16" max="17" width="16.42578125" customWidth="1"/>
    <col min="18" max="18" width="17.28515625" bestFit="1" customWidth="1"/>
    <col min="19" max="19" width="17" customWidth="1"/>
    <col min="20" max="20" width="12.42578125" customWidth="1"/>
    <col min="21" max="21" width="12.7109375" customWidth="1"/>
    <col min="22" max="22" width="16.140625" bestFit="1" customWidth="1"/>
    <col min="23" max="23" width="14.140625" bestFit="1" customWidth="1"/>
    <col min="24" max="24" width="15.140625" customWidth="1"/>
    <col min="25" max="25" width="17.42578125" customWidth="1"/>
    <col min="26" max="26" width="12.5703125" customWidth="1"/>
    <col min="27" max="27" width="16" customWidth="1"/>
    <col min="28" max="28" width="19.2851562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743" t="s">
        <v>263</v>
      </c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328">
        <v>46789758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7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5</v>
      </c>
      <c r="C8" s="1"/>
      <c r="D8" s="717" t="s">
        <v>264</v>
      </c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5"/>
      <c r="U8" s="625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626" t="s">
        <v>7</v>
      </c>
      <c r="C10" s="592" t="s">
        <v>8</v>
      </c>
      <c r="D10" s="631" t="s">
        <v>9</v>
      </c>
      <c r="E10" s="632"/>
      <c r="F10" s="632"/>
      <c r="G10" s="632"/>
      <c r="H10" s="632"/>
      <c r="I10" s="633"/>
      <c r="J10" s="631" t="s">
        <v>166</v>
      </c>
      <c r="K10" s="632"/>
      <c r="L10" s="632"/>
      <c r="M10" s="632"/>
      <c r="N10" s="632"/>
      <c r="O10" s="633"/>
      <c r="P10" s="631" t="s">
        <v>11</v>
      </c>
      <c r="Q10" s="632"/>
      <c r="R10" s="632"/>
      <c r="S10" s="632"/>
      <c r="T10" s="632"/>
      <c r="U10" s="633"/>
      <c r="V10" s="631" t="s">
        <v>12</v>
      </c>
      <c r="W10" s="632"/>
      <c r="X10" s="632"/>
      <c r="Y10" s="632"/>
      <c r="Z10" s="632"/>
      <c r="AA10" s="633"/>
      <c r="AB10" s="615" t="s">
        <v>13</v>
      </c>
      <c r="AC10" s="3"/>
      <c r="AD10" s="3"/>
    </row>
    <row r="11" spans="1:30" ht="30.75" customHeight="1" thickBot="1" x14ac:dyDescent="0.3">
      <c r="A11" s="1"/>
      <c r="B11" s="627"/>
      <c r="C11" s="593"/>
      <c r="D11" s="618" t="s">
        <v>14</v>
      </c>
      <c r="E11" s="619"/>
      <c r="F11" s="619"/>
      <c r="G11" s="620"/>
      <c r="H11" s="8" t="s">
        <v>15</v>
      </c>
      <c r="I11" s="8" t="s">
        <v>16</v>
      </c>
      <c r="J11" s="618" t="s">
        <v>14</v>
      </c>
      <c r="K11" s="619"/>
      <c r="L11" s="619"/>
      <c r="M11" s="620"/>
      <c r="N11" s="8" t="s">
        <v>15</v>
      </c>
      <c r="O11" s="8" t="s">
        <v>16</v>
      </c>
      <c r="P11" s="618" t="s">
        <v>14</v>
      </c>
      <c r="Q11" s="619"/>
      <c r="R11" s="619"/>
      <c r="S11" s="620"/>
      <c r="T11" s="8" t="s">
        <v>15</v>
      </c>
      <c r="U11" s="8" t="s">
        <v>16</v>
      </c>
      <c r="V11" s="618" t="s">
        <v>14</v>
      </c>
      <c r="W11" s="619"/>
      <c r="X11" s="619"/>
      <c r="Y11" s="620"/>
      <c r="Z11" s="8" t="s">
        <v>15</v>
      </c>
      <c r="AA11" s="8" t="s">
        <v>16</v>
      </c>
      <c r="AB11" s="616"/>
      <c r="AC11" s="3"/>
      <c r="AD11" s="3"/>
    </row>
    <row r="12" spans="1:30" ht="15.75" customHeight="1" thickBot="1" x14ac:dyDescent="0.3">
      <c r="A12" s="1"/>
      <c r="B12" s="627"/>
      <c r="C12" s="629"/>
      <c r="D12" s="621" t="s">
        <v>17</v>
      </c>
      <c r="E12" s="622"/>
      <c r="F12" s="622"/>
      <c r="G12" s="622"/>
      <c r="H12" s="622"/>
      <c r="I12" s="623"/>
      <c r="J12" s="621" t="s">
        <v>17</v>
      </c>
      <c r="K12" s="622"/>
      <c r="L12" s="622"/>
      <c r="M12" s="622"/>
      <c r="N12" s="622"/>
      <c r="O12" s="623"/>
      <c r="P12" s="621" t="s">
        <v>17</v>
      </c>
      <c r="Q12" s="622"/>
      <c r="R12" s="622"/>
      <c r="S12" s="622"/>
      <c r="T12" s="622"/>
      <c r="U12" s="623"/>
      <c r="V12" s="621" t="s">
        <v>17</v>
      </c>
      <c r="W12" s="622"/>
      <c r="X12" s="622"/>
      <c r="Y12" s="622"/>
      <c r="Z12" s="622"/>
      <c r="AA12" s="623"/>
      <c r="AB12" s="616"/>
      <c r="AC12" s="3"/>
      <c r="AD12" s="3"/>
    </row>
    <row r="13" spans="1:30" ht="15.75" customHeight="1" thickBot="1" x14ac:dyDescent="0.3">
      <c r="A13" s="1"/>
      <c r="B13" s="628"/>
      <c r="C13" s="630"/>
      <c r="D13" s="613" t="s">
        <v>18</v>
      </c>
      <c r="E13" s="614"/>
      <c r="F13" s="614"/>
      <c r="G13" s="609" t="s">
        <v>19</v>
      </c>
      <c r="H13" s="611" t="s">
        <v>20</v>
      </c>
      <c r="I13" s="594" t="s">
        <v>17</v>
      </c>
      <c r="J13" s="613" t="s">
        <v>18</v>
      </c>
      <c r="K13" s="614"/>
      <c r="L13" s="614"/>
      <c r="M13" s="609" t="s">
        <v>19</v>
      </c>
      <c r="N13" s="611" t="s">
        <v>20</v>
      </c>
      <c r="O13" s="594" t="s">
        <v>17</v>
      </c>
      <c r="P13" s="613" t="s">
        <v>18</v>
      </c>
      <c r="Q13" s="614"/>
      <c r="R13" s="614"/>
      <c r="S13" s="609" t="s">
        <v>19</v>
      </c>
      <c r="T13" s="611" t="s">
        <v>20</v>
      </c>
      <c r="U13" s="594" t="s">
        <v>17</v>
      </c>
      <c r="V13" s="613" t="s">
        <v>18</v>
      </c>
      <c r="W13" s="614"/>
      <c r="X13" s="614"/>
      <c r="Y13" s="609" t="s">
        <v>19</v>
      </c>
      <c r="Z13" s="611" t="s">
        <v>20</v>
      </c>
      <c r="AA13" s="594" t="s">
        <v>17</v>
      </c>
      <c r="AB13" s="616"/>
      <c r="AC13" s="3"/>
      <c r="AD13" s="3"/>
    </row>
    <row r="14" spans="1:30" ht="15.75" thickBot="1" x14ac:dyDescent="0.3">
      <c r="A14" s="1"/>
      <c r="B14" s="9"/>
      <c r="C14" s="10"/>
      <c r="D14" s="11" t="s">
        <v>21</v>
      </c>
      <c r="E14" s="12" t="s">
        <v>22</v>
      </c>
      <c r="F14" s="12" t="s">
        <v>23</v>
      </c>
      <c r="G14" s="610"/>
      <c r="H14" s="612"/>
      <c r="I14" s="595"/>
      <c r="J14" s="11" t="s">
        <v>21</v>
      </c>
      <c r="K14" s="12" t="s">
        <v>22</v>
      </c>
      <c r="L14" s="12" t="s">
        <v>23</v>
      </c>
      <c r="M14" s="610"/>
      <c r="N14" s="612"/>
      <c r="O14" s="595"/>
      <c r="P14" s="11" t="s">
        <v>21</v>
      </c>
      <c r="Q14" s="12" t="s">
        <v>22</v>
      </c>
      <c r="R14" s="12" t="s">
        <v>23</v>
      </c>
      <c r="S14" s="610"/>
      <c r="T14" s="612"/>
      <c r="U14" s="595"/>
      <c r="V14" s="11" t="s">
        <v>21</v>
      </c>
      <c r="W14" s="12" t="s">
        <v>22</v>
      </c>
      <c r="X14" s="12" t="s">
        <v>23</v>
      </c>
      <c r="Y14" s="610"/>
      <c r="Z14" s="612"/>
      <c r="AA14" s="595"/>
      <c r="AB14" s="617"/>
      <c r="AC14" s="3"/>
      <c r="AD14" s="3"/>
    </row>
    <row r="15" spans="1:30" x14ac:dyDescent="0.25">
      <c r="A15" s="1"/>
      <c r="B15" s="13" t="s">
        <v>24</v>
      </c>
      <c r="C15" s="14" t="s">
        <v>25</v>
      </c>
      <c r="D15" s="15"/>
      <c r="E15" s="16"/>
      <c r="F15" s="17">
        <v>2459.6999999999998</v>
      </c>
      <c r="G15" s="18">
        <f>SUM(D15:F15)</f>
        <v>2459.6999999999998</v>
      </c>
      <c r="H15" s="19"/>
      <c r="I15" s="20">
        <f>G15+H15</f>
        <v>2459.6999999999998</v>
      </c>
      <c r="J15" s="329"/>
      <c r="K15" s="330"/>
      <c r="L15" s="415">
        <v>2600</v>
      </c>
      <c r="M15" s="331">
        <f t="shared" ref="M15:M24" si="0">SUM(J15:L15)</f>
        <v>2600</v>
      </c>
      <c r="N15" s="332"/>
      <c r="O15" s="333">
        <f>M15+N15</f>
        <v>2600</v>
      </c>
      <c r="P15" s="15"/>
      <c r="Q15" s="16"/>
      <c r="R15" s="334">
        <v>1393.1</v>
      </c>
      <c r="S15" s="18">
        <f>SUM(P15:R15)</f>
        <v>1393.1</v>
      </c>
      <c r="T15" s="19"/>
      <c r="U15" s="20">
        <f>S15+T15</f>
        <v>1393.1</v>
      </c>
      <c r="V15" s="15"/>
      <c r="W15" s="16"/>
      <c r="X15" s="17">
        <v>2600</v>
      </c>
      <c r="Y15" s="18">
        <f>SUM(V15:X15)</f>
        <v>2600</v>
      </c>
      <c r="Z15" s="19"/>
      <c r="AA15" s="20">
        <f>Y15+Z15</f>
        <v>2600</v>
      </c>
      <c r="AB15" s="21">
        <f>(AA15/O15)</f>
        <v>1</v>
      </c>
      <c r="AC15" s="3"/>
      <c r="AD15" s="3"/>
    </row>
    <row r="16" spans="1:30" x14ac:dyDescent="0.25">
      <c r="A16" s="1"/>
      <c r="B16" s="22" t="s">
        <v>26</v>
      </c>
      <c r="C16" s="23" t="s">
        <v>123</v>
      </c>
      <c r="D16" s="24">
        <v>5370.1</v>
      </c>
      <c r="E16" s="25"/>
      <c r="F16" s="25"/>
      <c r="G16" s="26">
        <f t="shared" ref="G16:G24" si="1">SUM(D16:F16)</f>
        <v>5370.1</v>
      </c>
      <c r="H16" s="27"/>
      <c r="I16" s="20">
        <f t="shared" ref="I16:I24" si="2">G16+H16</f>
        <v>5370.1</v>
      </c>
      <c r="J16" s="416">
        <v>5900</v>
      </c>
      <c r="K16" s="335"/>
      <c r="L16" s="335"/>
      <c r="M16" s="336">
        <f t="shared" si="0"/>
        <v>5900</v>
      </c>
      <c r="N16" s="337"/>
      <c r="O16" s="333">
        <f t="shared" ref="O16:O21" si="3">M16+N16</f>
        <v>5900</v>
      </c>
      <c r="P16" s="24">
        <v>2950.2</v>
      </c>
      <c r="Q16" s="338"/>
      <c r="R16" s="25"/>
      <c r="S16" s="26">
        <f t="shared" ref="S16:S24" si="4">SUM(P16:R16)</f>
        <v>2950.2</v>
      </c>
      <c r="T16" s="27"/>
      <c r="U16" s="20">
        <f t="shared" ref="U16:U21" si="5">S16+T16</f>
        <v>2950.2</v>
      </c>
      <c r="V16" s="24">
        <v>6349</v>
      </c>
      <c r="W16" s="25"/>
      <c r="X16" s="25"/>
      <c r="Y16" s="26">
        <f t="shared" ref="Y16:Y24" si="6">SUM(V16:X16)</f>
        <v>6349</v>
      </c>
      <c r="Z16" s="27"/>
      <c r="AA16" s="20">
        <f t="shared" ref="AA16:AA21" si="7">Y16+Z16</f>
        <v>6349</v>
      </c>
      <c r="AB16" s="21">
        <f t="shared" ref="AB16:AB25" si="8">(AA16/O16)</f>
        <v>1.0761016949152542</v>
      </c>
      <c r="AC16" s="3"/>
      <c r="AD16" s="3"/>
    </row>
    <row r="17" spans="1:30" x14ac:dyDescent="0.25">
      <c r="A17" s="1"/>
      <c r="B17" s="22" t="s">
        <v>28</v>
      </c>
      <c r="C17" s="28" t="s">
        <v>124</v>
      </c>
      <c r="D17" s="29">
        <v>254.8</v>
      </c>
      <c r="E17" s="30">
        <v>59.9</v>
      </c>
      <c r="F17" s="30"/>
      <c r="G17" s="26">
        <f t="shared" si="1"/>
        <v>314.7</v>
      </c>
      <c r="H17" s="31"/>
      <c r="I17" s="20">
        <f t="shared" si="2"/>
        <v>314.7</v>
      </c>
      <c r="J17" s="342">
        <v>614.9</v>
      </c>
      <c r="K17" s="339"/>
      <c r="L17" s="339"/>
      <c r="M17" s="336">
        <f t="shared" si="0"/>
        <v>614.9</v>
      </c>
      <c r="N17" s="340"/>
      <c r="O17" s="333">
        <f t="shared" si="3"/>
        <v>614.9</v>
      </c>
      <c r="P17" s="29">
        <v>222.7</v>
      </c>
      <c r="Q17" s="30"/>
      <c r="R17" s="30"/>
      <c r="S17" s="26">
        <f t="shared" si="4"/>
        <v>222.7</v>
      </c>
      <c r="T17" s="31"/>
      <c r="U17" s="20">
        <f t="shared" si="5"/>
        <v>222.7</v>
      </c>
      <c r="V17" s="29">
        <v>0</v>
      </c>
      <c r="W17" s="30"/>
      <c r="X17" s="30"/>
      <c r="Y17" s="26">
        <f t="shared" si="6"/>
        <v>0</v>
      </c>
      <c r="Z17" s="31"/>
      <c r="AA17" s="20">
        <f t="shared" si="7"/>
        <v>0</v>
      </c>
      <c r="AB17" s="21">
        <f t="shared" si="8"/>
        <v>0</v>
      </c>
      <c r="AC17" s="3"/>
      <c r="AD17" s="3"/>
    </row>
    <row r="18" spans="1:30" x14ac:dyDescent="0.25">
      <c r="A18" s="1"/>
      <c r="B18" s="22" t="s">
        <v>125</v>
      </c>
      <c r="C18" s="341" t="s">
        <v>126</v>
      </c>
      <c r="D18" s="29"/>
      <c r="E18" s="30"/>
      <c r="F18" s="30"/>
      <c r="G18" s="26">
        <f t="shared" si="1"/>
        <v>0</v>
      </c>
      <c r="H18" s="27"/>
      <c r="I18" s="20">
        <f t="shared" si="2"/>
        <v>0</v>
      </c>
      <c r="J18" s="342"/>
      <c r="K18" s="339"/>
      <c r="L18" s="339"/>
      <c r="M18" s="336">
        <f t="shared" si="0"/>
        <v>0</v>
      </c>
      <c r="N18" s="337"/>
      <c r="O18" s="333">
        <f t="shared" si="3"/>
        <v>0</v>
      </c>
      <c r="P18" s="29"/>
      <c r="Q18" s="30"/>
      <c r="R18" s="30"/>
      <c r="S18" s="26">
        <f t="shared" si="4"/>
        <v>0</v>
      </c>
      <c r="T18" s="27"/>
      <c r="U18" s="20">
        <f t="shared" si="5"/>
        <v>0</v>
      </c>
      <c r="V18" s="29">
        <v>7959.5</v>
      </c>
      <c r="W18" s="30"/>
      <c r="X18" s="30"/>
      <c r="Y18" s="26">
        <f t="shared" si="6"/>
        <v>7959.5</v>
      </c>
      <c r="Z18" s="27"/>
      <c r="AA18" s="20">
        <f t="shared" si="7"/>
        <v>7959.5</v>
      </c>
      <c r="AB18" s="21"/>
      <c r="AC18" s="3"/>
      <c r="AD18" s="3"/>
    </row>
    <row r="19" spans="1:30" x14ac:dyDescent="0.25">
      <c r="A19" s="1"/>
      <c r="B19" s="22" t="s">
        <v>30</v>
      </c>
      <c r="C19" s="32" t="s">
        <v>31</v>
      </c>
      <c r="D19" s="33"/>
      <c r="E19" s="34">
        <v>42940</v>
      </c>
      <c r="F19" s="30"/>
      <c r="G19" s="26">
        <f t="shared" si="1"/>
        <v>42940</v>
      </c>
      <c r="H19" s="19"/>
      <c r="I19" s="20">
        <f t="shared" si="2"/>
        <v>42940</v>
      </c>
      <c r="J19" s="343">
        <v>0</v>
      </c>
      <c r="K19" s="417">
        <v>48100</v>
      </c>
      <c r="L19" s="339"/>
      <c r="M19" s="336">
        <f t="shared" si="0"/>
        <v>48100</v>
      </c>
      <c r="N19" s="332"/>
      <c r="O19" s="333">
        <f t="shared" si="3"/>
        <v>48100</v>
      </c>
      <c r="P19" s="33"/>
      <c r="Q19" s="34">
        <v>21508.2</v>
      </c>
      <c r="R19" s="30"/>
      <c r="S19" s="26">
        <f t="shared" si="4"/>
        <v>21508.2</v>
      </c>
      <c r="T19" s="19"/>
      <c r="U19" s="20">
        <f t="shared" si="5"/>
        <v>21508.2</v>
      </c>
      <c r="V19" s="33"/>
      <c r="W19" s="34">
        <v>41247.5</v>
      </c>
      <c r="X19" s="30"/>
      <c r="Y19" s="26">
        <f t="shared" si="6"/>
        <v>41247.5</v>
      </c>
      <c r="Z19" s="19"/>
      <c r="AA19" s="20">
        <f t="shared" si="7"/>
        <v>41247.5</v>
      </c>
      <c r="AB19" s="21">
        <f t="shared" si="8"/>
        <v>0.85753638253638254</v>
      </c>
      <c r="AC19" s="3"/>
      <c r="AD19" s="3"/>
    </row>
    <row r="20" spans="1:30" x14ac:dyDescent="0.25">
      <c r="A20" s="1"/>
      <c r="B20" s="22" t="s">
        <v>32</v>
      </c>
      <c r="C20" s="35" t="s">
        <v>33</v>
      </c>
      <c r="D20" s="36">
        <v>903.8</v>
      </c>
      <c r="E20" s="30"/>
      <c r="F20" s="37"/>
      <c r="G20" s="26">
        <f t="shared" si="1"/>
        <v>903.8</v>
      </c>
      <c r="H20" s="38"/>
      <c r="I20" s="20">
        <f t="shared" si="2"/>
        <v>903.8</v>
      </c>
      <c r="J20" s="344">
        <v>903.8</v>
      </c>
      <c r="K20" s="339"/>
      <c r="L20" s="397"/>
      <c r="M20" s="336">
        <f t="shared" si="0"/>
        <v>903.8</v>
      </c>
      <c r="N20" s="345"/>
      <c r="O20" s="333">
        <f t="shared" si="3"/>
        <v>903.8</v>
      </c>
      <c r="P20" s="36">
        <v>421.8</v>
      </c>
      <c r="Q20" s="30"/>
      <c r="R20" s="37"/>
      <c r="S20" s="26">
        <f t="shared" si="4"/>
        <v>421.8</v>
      </c>
      <c r="T20" s="38"/>
      <c r="U20" s="20">
        <f t="shared" si="5"/>
        <v>421.8</v>
      </c>
      <c r="V20" s="36">
        <v>1416.4</v>
      </c>
      <c r="W20" s="30"/>
      <c r="X20" s="37"/>
      <c r="Y20" s="26">
        <f t="shared" si="6"/>
        <v>1416.4</v>
      </c>
      <c r="Z20" s="38"/>
      <c r="AA20" s="20">
        <f t="shared" si="7"/>
        <v>1416.4</v>
      </c>
      <c r="AB20" s="21">
        <f t="shared" si="8"/>
        <v>1.5671608763000666</v>
      </c>
      <c r="AC20" s="3"/>
      <c r="AD20" s="3"/>
    </row>
    <row r="21" spans="1:30" x14ac:dyDescent="0.25">
      <c r="A21" s="1"/>
      <c r="B21" s="22" t="s">
        <v>34</v>
      </c>
      <c r="C21" s="39" t="s">
        <v>35</v>
      </c>
      <c r="D21" s="33">
        <v>770</v>
      </c>
      <c r="E21" s="25"/>
      <c r="F21" s="40">
        <v>249</v>
      </c>
      <c r="G21" s="26">
        <v>1019.1</v>
      </c>
      <c r="H21" s="38"/>
      <c r="I21" s="20">
        <v>1019.1</v>
      </c>
      <c r="J21" s="343"/>
      <c r="K21" s="335"/>
      <c r="L21" s="418">
        <v>100</v>
      </c>
      <c r="M21" s="336">
        <f t="shared" si="0"/>
        <v>100</v>
      </c>
      <c r="N21" s="345"/>
      <c r="O21" s="333">
        <f t="shared" si="3"/>
        <v>100</v>
      </c>
      <c r="P21" s="33">
        <v>363.9</v>
      </c>
      <c r="Q21" s="25"/>
      <c r="R21" s="40">
        <v>44.1</v>
      </c>
      <c r="S21" s="26">
        <f t="shared" si="4"/>
        <v>408</v>
      </c>
      <c r="T21" s="38"/>
      <c r="U21" s="20">
        <f t="shared" si="5"/>
        <v>408</v>
      </c>
      <c r="V21" s="33" t="s">
        <v>227</v>
      </c>
      <c r="W21" s="25"/>
      <c r="X21" s="40">
        <v>100</v>
      </c>
      <c r="Y21" s="26">
        <f t="shared" si="6"/>
        <v>100</v>
      </c>
      <c r="Z21" s="38"/>
      <c r="AA21" s="20">
        <f t="shared" si="7"/>
        <v>100</v>
      </c>
      <c r="AB21" s="21">
        <f t="shared" si="8"/>
        <v>1</v>
      </c>
      <c r="AC21" s="3"/>
      <c r="AD21" s="3"/>
    </row>
    <row r="22" spans="1:30" x14ac:dyDescent="0.25">
      <c r="A22" s="1"/>
      <c r="B22" s="22" t="s">
        <v>36</v>
      </c>
      <c r="C22" s="41" t="s">
        <v>37</v>
      </c>
      <c r="D22" s="33">
        <v>0.1</v>
      </c>
      <c r="E22" s="25">
        <v>39.299999999999997</v>
      </c>
      <c r="F22" s="40">
        <v>271.8</v>
      </c>
      <c r="G22" s="26">
        <f t="shared" si="1"/>
        <v>311.2</v>
      </c>
      <c r="H22" s="42">
        <v>550.4</v>
      </c>
      <c r="I22" s="20">
        <f>G22+H22</f>
        <v>861.59999999999991</v>
      </c>
      <c r="J22" s="343"/>
      <c r="K22" s="335"/>
      <c r="L22" s="418"/>
      <c r="M22" s="336">
        <f t="shared" si="0"/>
        <v>0</v>
      </c>
      <c r="N22" s="346">
        <v>400</v>
      </c>
      <c r="O22" s="333">
        <f>M22+N22</f>
        <v>400</v>
      </c>
      <c r="P22" s="33">
        <v>45.4</v>
      </c>
      <c r="Q22" s="25"/>
      <c r="R22" s="40">
        <v>86.2</v>
      </c>
      <c r="S22" s="26">
        <f t="shared" si="4"/>
        <v>131.6</v>
      </c>
      <c r="T22" s="42">
        <v>277.2</v>
      </c>
      <c r="U22" s="20">
        <f>S22+T22</f>
        <v>408.79999999999995</v>
      </c>
      <c r="V22" s="33">
        <v>50</v>
      </c>
      <c r="W22" s="25"/>
      <c r="X22" s="40"/>
      <c r="Y22" s="26">
        <f t="shared" si="6"/>
        <v>50</v>
      </c>
      <c r="Z22" s="42">
        <v>400</v>
      </c>
      <c r="AA22" s="20">
        <f>Y22+Z22</f>
        <v>450</v>
      </c>
      <c r="AB22" s="21">
        <f t="shared" si="8"/>
        <v>1.125</v>
      </c>
      <c r="AC22" s="3"/>
      <c r="AD22" s="3"/>
    </row>
    <row r="23" spans="1:30" x14ac:dyDescent="0.25">
      <c r="A23" s="1"/>
      <c r="B23" s="22" t="s">
        <v>38</v>
      </c>
      <c r="C23" s="41" t="s">
        <v>39</v>
      </c>
      <c r="D23" s="33"/>
      <c r="E23" s="25"/>
      <c r="F23" s="40"/>
      <c r="G23" s="26">
        <v>0</v>
      </c>
      <c r="H23" s="42"/>
      <c r="I23" s="20">
        <v>0</v>
      </c>
      <c r="J23" s="343"/>
      <c r="K23" s="335"/>
      <c r="L23" s="418"/>
      <c r="M23" s="336">
        <f t="shared" si="0"/>
        <v>0</v>
      </c>
      <c r="N23" s="346"/>
      <c r="O23" s="333">
        <f t="shared" ref="O23:O24" si="9">M23+N23</f>
        <v>0</v>
      </c>
      <c r="P23" s="33"/>
      <c r="Q23" s="25"/>
      <c r="R23" s="40"/>
      <c r="S23" s="26">
        <f t="shared" si="4"/>
        <v>0</v>
      </c>
      <c r="T23" s="42"/>
      <c r="U23" s="20">
        <f t="shared" ref="U23:U24" si="10">S23+T23</f>
        <v>0</v>
      </c>
      <c r="V23" s="33"/>
      <c r="W23" s="25"/>
      <c r="X23" s="40"/>
      <c r="Y23" s="26">
        <f t="shared" si="6"/>
        <v>0</v>
      </c>
      <c r="Z23" s="42"/>
      <c r="AA23" s="20">
        <f t="shared" ref="AA23:AA24" si="11">Y23+Z23</f>
        <v>0</v>
      </c>
      <c r="AB23" s="21" t="e">
        <f t="shared" si="8"/>
        <v>#DIV/0!</v>
      </c>
      <c r="AC23" s="3"/>
      <c r="AD23" s="3"/>
    </row>
    <row r="24" spans="1:30" ht="15.75" thickBot="1" x14ac:dyDescent="0.3">
      <c r="A24" s="1"/>
      <c r="B24" s="43" t="s">
        <v>40</v>
      </c>
      <c r="C24" s="44" t="s">
        <v>41</v>
      </c>
      <c r="D24" s="45"/>
      <c r="E24" s="46"/>
      <c r="F24" s="47"/>
      <c r="G24" s="48">
        <f t="shared" si="1"/>
        <v>0</v>
      </c>
      <c r="H24" s="49"/>
      <c r="I24" s="50">
        <f t="shared" si="2"/>
        <v>0</v>
      </c>
      <c r="J24" s="347"/>
      <c r="K24" s="348"/>
      <c r="L24" s="419"/>
      <c r="M24" s="349">
        <f t="shared" si="0"/>
        <v>0</v>
      </c>
      <c r="N24" s="350"/>
      <c r="O24" s="351">
        <f t="shared" si="9"/>
        <v>0</v>
      </c>
      <c r="P24" s="45"/>
      <c r="Q24" s="46"/>
      <c r="R24" s="47"/>
      <c r="S24" s="48">
        <f t="shared" si="4"/>
        <v>0</v>
      </c>
      <c r="T24" s="49"/>
      <c r="U24" s="50">
        <f t="shared" si="10"/>
        <v>0</v>
      </c>
      <c r="V24" s="45"/>
      <c r="W24" s="46"/>
      <c r="X24" s="47"/>
      <c r="Y24" s="48">
        <f t="shared" si="6"/>
        <v>0</v>
      </c>
      <c r="Z24" s="49"/>
      <c r="AA24" s="50">
        <f t="shared" si="11"/>
        <v>0</v>
      </c>
      <c r="AB24" s="51" t="e">
        <f t="shared" si="8"/>
        <v>#DIV/0!</v>
      </c>
      <c r="AC24" s="3"/>
      <c r="AD24" s="3"/>
    </row>
    <row r="25" spans="1:30" ht="15.75" thickBot="1" x14ac:dyDescent="0.3">
      <c r="A25" s="1"/>
      <c r="B25" s="52" t="s">
        <v>42</v>
      </c>
      <c r="C25" s="53" t="s">
        <v>43</v>
      </c>
      <c r="D25" s="54">
        <f>SUM(D15:D22)</f>
        <v>7298.8000000000011</v>
      </c>
      <c r="E25" s="55">
        <f>SUM(E15:E22)</f>
        <v>43039.200000000004</v>
      </c>
      <c r="F25" s="55">
        <f>SUM(F15:F22)</f>
        <v>2980.5</v>
      </c>
      <c r="G25" s="56">
        <f>SUM(D25:F25)</f>
        <v>53318.500000000007</v>
      </c>
      <c r="H25" s="57">
        <f>SUM(H15:H22)</f>
        <v>550.4</v>
      </c>
      <c r="I25" s="57">
        <f>SUM(I15:I22)</f>
        <v>53869</v>
      </c>
      <c r="J25" s="352">
        <f>SUM(J15:J22)</f>
        <v>7418.7</v>
      </c>
      <c r="K25" s="353">
        <f>SUM(K15:K22)</f>
        <v>48100</v>
      </c>
      <c r="L25" s="353">
        <f>SUM(L15:L22)</f>
        <v>2700</v>
      </c>
      <c r="M25" s="354">
        <f>SUM(J25:L25)</f>
        <v>58218.7</v>
      </c>
      <c r="N25" s="355">
        <f>SUM(N15:N22)</f>
        <v>400</v>
      </c>
      <c r="O25" s="355">
        <f>SUM(O15:O22)</f>
        <v>58618.700000000004</v>
      </c>
      <c r="P25" s="54">
        <f>SUM(P15:P22)</f>
        <v>4004</v>
      </c>
      <c r="Q25" s="55">
        <f>SUM(Q15:Q22)</f>
        <v>21508.2</v>
      </c>
      <c r="R25" s="55">
        <f>SUM(R15:R22)</f>
        <v>1523.3999999999999</v>
      </c>
      <c r="S25" s="56">
        <f>SUM(P25:R25)</f>
        <v>27035.600000000002</v>
      </c>
      <c r="T25" s="57">
        <f>SUM(T15:T22)</f>
        <v>277.2</v>
      </c>
      <c r="U25" s="57">
        <f>SUM(U15:U22)</f>
        <v>27312.799999999999</v>
      </c>
      <c r="V25" s="54">
        <f>SUM(V15:V22)</f>
        <v>15774.9</v>
      </c>
      <c r="W25" s="55">
        <f>SUM(W15:W22)</f>
        <v>41247.5</v>
      </c>
      <c r="X25" s="55">
        <f>SUM(X15:X22)</f>
        <v>2700</v>
      </c>
      <c r="Y25" s="56">
        <f>SUM(V25:X25)</f>
        <v>59722.400000000001</v>
      </c>
      <c r="Z25" s="57">
        <f>SUM(Z15:Z22)</f>
        <v>400</v>
      </c>
      <c r="AA25" s="57">
        <f>SUM(AA15:AA22)</f>
        <v>60122.400000000001</v>
      </c>
      <c r="AB25" s="58">
        <f t="shared" si="8"/>
        <v>1.0256522236078247</v>
      </c>
      <c r="AC25" s="3"/>
      <c r="AD25" s="3"/>
    </row>
    <row r="26" spans="1:30" ht="15.75" customHeight="1" thickBot="1" x14ac:dyDescent="0.3">
      <c r="A26" s="1"/>
      <c r="B26" s="59"/>
      <c r="C26" s="60"/>
      <c r="D26" s="596" t="s">
        <v>44</v>
      </c>
      <c r="E26" s="597"/>
      <c r="F26" s="597"/>
      <c r="G26" s="598"/>
      <c r="H26" s="598"/>
      <c r="I26" s="599"/>
      <c r="J26" s="705" t="s">
        <v>44</v>
      </c>
      <c r="K26" s="706"/>
      <c r="L26" s="706"/>
      <c r="M26" s="707"/>
      <c r="N26" s="707"/>
      <c r="O26" s="708"/>
      <c r="P26" s="596" t="s">
        <v>44</v>
      </c>
      <c r="Q26" s="597"/>
      <c r="R26" s="597"/>
      <c r="S26" s="598"/>
      <c r="T26" s="598"/>
      <c r="U26" s="599"/>
      <c r="V26" s="596" t="s">
        <v>44</v>
      </c>
      <c r="W26" s="597"/>
      <c r="X26" s="597"/>
      <c r="Y26" s="598"/>
      <c r="Z26" s="598"/>
      <c r="AA26" s="599"/>
      <c r="AB26" s="600" t="s">
        <v>13</v>
      </c>
      <c r="AC26" s="3"/>
      <c r="AD26" s="3"/>
    </row>
    <row r="27" spans="1:30" ht="15.75" thickBot="1" x14ac:dyDescent="0.3">
      <c r="A27" s="1"/>
      <c r="B27" s="590" t="s">
        <v>7</v>
      </c>
      <c r="C27" s="592" t="s">
        <v>8</v>
      </c>
      <c r="D27" s="586" t="s">
        <v>45</v>
      </c>
      <c r="E27" s="587"/>
      <c r="F27" s="587"/>
      <c r="G27" s="588" t="s">
        <v>46</v>
      </c>
      <c r="H27" s="578" t="s">
        <v>47</v>
      </c>
      <c r="I27" s="580" t="s">
        <v>44</v>
      </c>
      <c r="J27" s="709" t="s">
        <v>45</v>
      </c>
      <c r="K27" s="710"/>
      <c r="L27" s="710"/>
      <c r="M27" s="711" t="s">
        <v>46</v>
      </c>
      <c r="N27" s="713" t="s">
        <v>47</v>
      </c>
      <c r="O27" s="715" t="s">
        <v>44</v>
      </c>
      <c r="P27" s="586" t="s">
        <v>45</v>
      </c>
      <c r="Q27" s="587"/>
      <c r="R27" s="587"/>
      <c r="S27" s="588" t="s">
        <v>46</v>
      </c>
      <c r="T27" s="578" t="s">
        <v>47</v>
      </c>
      <c r="U27" s="580" t="s">
        <v>44</v>
      </c>
      <c r="V27" s="586" t="s">
        <v>45</v>
      </c>
      <c r="W27" s="587"/>
      <c r="X27" s="587"/>
      <c r="Y27" s="588" t="s">
        <v>46</v>
      </c>
      <c r="Z27" s="578" t="s">
        <v>47</v>
      </c>
      <c r="AA27" s="580" t="s">
        <v>44</v>
      </c>
      <c r="AB27" s="601"/>
      <c r="AC27" s="3"/>
      <c r="AD27" s="3"/>
    </row>
    <row r="28" spans="1:30" ht="15.75" thickBot="1" x14ac:dyDescent="0.3">
      <c r="A28" s="1"/>
      <c r="B28" s="591"/>
      <c r="C28" s="593"/>
      <c r="D28" s="61" t="s">
        <v>48</v>
      </c>
      <c r="E28" s="62" t="s">
        <v>49</v>
      </c>
      <c r="F28" s="63" t="s">
        <v>50</v>
      </c>
      <c r="G28" s="589"/>
      <c r="H28" s="579"/>
      <c r="I28" s="581"/>
      <c r="J28" s="356" t="s">
        <v>48</v>
      </c>
      <c r="K28" s="357" t="s">
        <v>49</v>
      </c>
      <c r="L28" s="358" t="s">
        <v>50</v>
      </c>
      <c r="M28" s="712"/>
      <c r="N28" s="714"/>
      <c r="O28" s="716"/>
      <c r="P28" s="61" t="s">
        <v>48</v>
      </c>
      <c r="Q28" s="62" t="s">
        <v>49</v>
      </c>
      <c r="R28" s="63" t="s">
        <v>50</v>
      </c>
      <c r="S28" s="589"/>
      <c r="T28" s="579"/>
      <c r="U28" s="581"/>
      <c r="V28" s="61" t="s">
        <v>48</v>
      </c>
      <c r="W28" s="62" t="s">
        <v>49</v>
      </c>
      <c r="X28" s="63" t="s">
        <v>50</v>
      </c>
      <c r="Y28" s="589"/>
      <c r="Z28" s="579"/>
      <c r="AA28" s="581"/>
      <c r="AB28" s="602"/>
      <c r="AC28" s="3"/>
      <c r="AD28" s="3"/>
    </row>
    <row r="29" spans="1:30" x14ac:dyDescent="0.25">
      <c r="A29" s="1"/>
      <c r="B29" s="13" t="s">
        <v>51</v>
      </c>
      <c r="C29" s="67" t="s">
        <v>52</v>
      </c>
      <c r="D29" s="68">
        <v>610.1</v>
      </c>
      <c r="E29" s="68"/>
      <c r="F29" s="68"/>
      <c r="G29" s="70">
        <f>SUM(D29:F29)</f>
        <v>610.1</v>
      </c>
      <c r="H29" s="70"/>
      <c r="I29" s="71">
        <f>G29+H29</f>
        <v>610.1</v>
      </c>
      <c r="J29" s="421">
        <v>300</v>
      </c>
      <c r="K29" s="422"/>
      <c r="L29" s="422"/>
      <c r="M29" s="359">
        <f>SUM(J29:L29)</f>
        <v>300</v>
      </c>
      <c r="N29" s="359"/>
      <c r="O29" s="360">
        <f>M29+N29</f>
        <v>300</v>
      </c>
      <c r="P29" s="72">
        <v>52</v>
      </c>
      <c r="Q29" s="68"/>
      <c r="R29" s="68"/>
      <c r="S29" s="70">
        <f>SUM(P29:R29)</f>
        <v>52</v>
      </c>
      <c r="T29" s="70"/>
      <c r="U29" s="71">
        <f>S29+T29</f>
        <v>52</v>
      </c>
      <c r="V29" s="72">
        <v>400</v>
      </c>
      <c r="W29" s="68"/>
      <c r="X29" s="68"/>
      <c r="Y29" s="70">
        <f>SUM(V29:X29)</f>
        <v>400</v>
      </c>
      <c r="Z29" s="70"/>
      <c r="AA29" s="71">
        <f>Y29+Z29</f>
        <v>400</v>
      </c>
      <c r="AB29" s="21">
        <f t="shared" ref="AB29:AB42" si="12">(AA29/O29)</f>
        <v>1.3333333333333333</v>
      </c>
      <c r="AC29" s="3"/>
      <c r="AD29" s="3"/>
    </row>
    <row r="30" spans="1:30" x14ac:dyDescent="0.25">
      <c r="A30" s="1"/>
      <c r="B30" s="22" t="s">
        <v>53</v>
      </c>
      <c r="C30" s="73" t="s">
        <v>54</v>
      </c>
      <c r="D30" s="74">
        <v>414.9</v>
      </c>
      <c r="E30" s="75">
        <v>359.8</v>
      </c>
      <c r="F30" s="75">
        <v>2414.3000000000002</v>
      </c>
      <c r="G30" s="76">
        <f t="shared" ref="G30:G39" si="13">SUM(D30:F30)</f>
        <v>3189</v>
      </c>
      <c r="H30" s="77">
        <v>80</v>
      </c>
      <c r="I30" s="20">
        <f t="shared" ref="I30:I39" si="14">G30+H30</f>
        <v>3269</v>
      </c>
      <c r="J30" s="424">
        <v>341.2</v>
      </c>
      <c r="K30" s="425">
        <v>200</v>
      </c>
      <c r="L30" s="425">
        <v>2400</v>
      </c>
      <c r="M30" s="361">
        <f t="shared" ref="M30:M39" si="15">SUM(J30:L30)</f>
        <v>2941.2</v>
      </c>
      <c r="N30" s="362">
        <v>60</v>
      </c>
      <c r="O30" s="333">
        <f t="shared" ref="O30:O39" si="16">M30+N30</f>
        <v>3001.2</v>
      </c>
      <c r="P30" s="78">
        <v>257.89999999999998</v>
      </c>
      <c r="Q30" s="75">
        <v>42.7</v>
      </c>
      <c r="R30" s="75">
        <v>1279.3</v>
      </c>
      <c r="S30" s="76">
        <f t="shared" ref="S30:S39" si="17">SUM(P30:R30)</f>
        <v>1579.8999999999999</v>
      </c>
      <c r="T30" s="77"/>
      <c r="U30" s="20">
        <f t="shared" ref="U30:U39" si="18">S30+T30</f>
        <v>1579.8999999999999</v>
      </c>
      <c r="V30" s="78">
        <v>750</v>
      </c>
      <c r="W30" s="75"/>
      <c r="X30" s="75">
        <v>2400</v>
      </c>
      <c r="Y30" s="76">
        <f t="shared" ref="Y30:Y39" si="19">SUM(V30:X30)</f>
        <v>3150</v>
      </c>
      <c r="Z30" s="77">
        <v>60</v>
      </c>
      <c r="AA30" s="20">
        <f t="shared" ref="AA30:AA39" si="20">Y30+Z30</f>
        <v>3210</v>
      </c>
      <c r="AB30" s="21">
        <f t="shared" si="12"/>
        <v>1.0695721711315473</v>
      </c>
      <c r="AC30" s="3"/>
      <c r="AD30" s="3"/>
    </row>
    <row r="31" spans="1:30" x14ac:dyDescent="0.25">
      <c r="A31" s="1"/>
      <c r="B31" s="22" t="s">
        <v>55</v>
      </c>
      <c r="C31" s="41" t="s">
        <v>56</v>
      </c>
      <c r="D31" s="79">
        <v>2709</v>
      </c>
      <c r="E31" s="79"/>
      <c r="F31" s="79"/>
      <c r="G31" s="76">
        <f t="shared" si="13"/>
        <v>2709</v>
      </c>
      <c r="H31" s="76">
        <v>384.3</v>
      </c>
      <c r="I31" s="20">
        <f t="shared" si="14"/>
        <v>3093.3</v>
      </c>
      <c r="J31" s="426">
        <v>3100</v>
      </c>
      <c r="K31" s="246"/>
      <c r="L31" s="427"/>
      <c r="M31" s="361">
        <f t="shared" si="15"/>
        <v>3100</v>
      </c>
      <c r="N31" s="361">
        <v>340</v>
      </c>
      <c r="O31" s="333">
        <f t="shared" si="16"/>
        <v>3440</v>
      </c>
      <c r="P31" s="80">
        <v>1607.7</v>
      </c>
      <c r="Q31" s="79"/>
      <c r="R31" s="79"/>
      <c r="S31" s="76">
        <f t="shared" si="17"/>
        <v>1607.7</v>
      </c>
      <c r="T31" s="76"/>
      <c r="U31" s="20">
        <f t="shared" si="18"/>
        <v>1607.7</v>
      </c>
      <c r="V31" s="80">
        <v>3100</v>
      </c>
      <c r="W31" s="79"/>
      <c r="X31" s="79"/>
      <c r="Y31" s="76">
        <f t="shared" si="19"/>
        <v>3100</v>
      </c>
      <c r="Z31" s="76">
        <v>340</v>
      </c>
      <c r="AA31" s="20">
        <f t="shared" si="20"/>
        <v>3440</v>
      </c>
      <c r="AB31" s="21">
        <f t="shared" si="12"/>
        <v>1</v>
      </c>
      <c r="AC31" s="3"/>
      <c r="AD31" s="3"/>
    </row>
    <row r="32" spans="1:30" x14ac:dyDescent="0.25">
      <c r="A32" s="1"/>
      <c r="B32" s="22" t="s">
        <v>57</v>
      </c>
      <c r="C32" s="41" t="s">
        <v>58</v>
      </c>
      <c r="D32" s="79">
        <v>789.4</v>
      </c>
      <c r="E32" s="79">
        <v>174.2</v>
      </c>
      <c r="F32" s="79">
        <v>95.6</v>
      </c>
      <c r="G32" s="76">
        <f t="shared" si="13"/>
        <v>1059.1999999999998</v>
      </c>
      <c r="H32" s="76">
        <v>28.3</v>
      </c>
      <c r="I32" s="20">
        <f t="shared" si="14"/>
        <v>1087.4999999999998</v>
      </c>
      <c r="J32" s="426">
        <v>1359</v>
      </c>
      <c r="K32" s="427"/>
      <c r="L32" s="427">
        <v>100</v>
      </c>
      <c r="M32" s="361">
        <f t="shared" si="15"/>
        <v>1459</v>
      </c>
      <c r="N32" s="361"/>
      <c r="O32" s="333">
        <f t="shared" si="16"/>
        <v>1459</v>
      </c>
      <c r="P32" s="80">
        <v>591.5</v>
      </c>
      <c r="Q32" s="79">
        <v>61</v>
      </c>
      <c r="R32" s="79">
        <v>46.5</v>
      </c>
      <c r="S32" s="76">
        <f t="shared" si="17"/>
        <v>699</v>
      </c>
      <c r="T32" s="76"/>
      <c r="U32" s="20">
        <f t="shared" si="18"/>
        <v>699</v>
      </c>
      <c r="V32" s="80">
        <v>1349</v>
      </c>
      <c r="W32" s="79"/>
      <c r="X32" s="79">
        <v>100</v>
      </c>
      <c r="Y32" s="76">
        <f t="shared" si="19"/>
        <v>1449</v>
      </c>
      <c r="Z32" s="76"/>
      <c r="AA32" s="20">
        <f t="shared" si="20"/>
        <v>1449</v>
      </c>
      <c r="AB32" s="21">
        <f t="shared" si="12"/>
        <v>0.99314599040438656</v>
      </c>
      <c r="AC32" s="3"/>
      <c r="AD32" s="3"/>
    </row>
    <row r="33" spans="1:30" x14ac:dyDescent="0.25">
      <c r="A33" s="1"/>
      <c r="B33" s="22" t="s">
        <v>59</v>
      </c>
      <c r="C33" s="41" t="s">
        <v>60</v>
      </c>
      <c r="D33" s="363">
        <v>128</v>
      </c>
      <c r="E33" s="79">
        <v>31901.3</v>
      </c>
      <c r="F33" s="79"/>
      <c r="G33" s="76">
        <f t="shared" si="13"/>
        <v>32029.3</v>
      </c>
      <c r="H33" s="76">
        <v>1.7</v>
      </c>
      <c r="I33" s="20">
        <f t="shared" si="14"/>
        <v>32031</v>
      </c>
      <c r="J33" s="426">
        <v>150</v>
      </c>
      <c r="K33" s="427">
        <v>34920</v>
      </c>
      <c r="L33" s="427"/>
      <c r="M33" s="361">
        <f t="shared" si="15"/>
        <v>35070</v>
      </c>
      <c r="N33" s="361"/>
      <c r="O33" s="333">
        <f t="shared" si="16"/>
        <v>35070</v>
      </c>
      <c r="P33" s="82">
        <v>16.600000000000001</v>
      </c>
      <c r="Q33" s="79">
        <v>14451.1</v>
      </c>
      <c r="R33" s="79"/>
      <c r="S33" s="76">
        <f t="shared" si="17"/>
        <v>14467.7</v>
      </c>
      <c r="T33" s="76"/>
      <c r="U33" s="20">
        <f t="shared" si="18"/>
        <v>14467.7</v>
      </c>
      <c r="V33" s="82">
        <v>5349.5</v>
      </c>
      <c r="W33" s="79">
        <v>30778.5</v>
      </c>
      <c r="X33" s="79"/>
      <c r="Y33" s="76">
        <f t="shared" si="19"/>
        <v>36128</v>
      </c>
      <c r="Z33" s="76"/>
      <c r="AA33" s="20">
        <f t="shared" si="20"/>
        <v>36128</v>
      </c>
      <c r="AB33" s="21">
        <f t="shared" si="12"/>
        <v>1.0301682349586541</v>
      </c>
      <c r="AC33" s="3"/>
      <c r="AD33" s="3"/>
    </row>
    <row r="34" spans="1:30" x14ac:dyDescent="0.25">
      <c r="A34" s="1"/>
      <c r="B34" s="22" t="s">
        <v>61</v>
      </c>
      <c r="C34" s="35" t="s">
        <v>127</v>
      </c>
      <c r="D34" s="363">
        <v>128</v>
      </c>
      <c r="E34" s="79">
        <v>31718.400000000001</v>
      </c>
      <c r="F34" s="79"/>
      <c r="G34" s="76">
        <f t="shared" si="13"/>
        <v>31846.400000000001</v>
      </c>
      <c r="H34" s="76"/>
      <c r="I34" s="20">
        <f t="shared" si="14"/>
        <v>31846.400000000001</v>
      </c>
      <c r="J34" s="426">
        <v>150</v>
      </c>
      <c r="K34" s="427">
        <v>34720</v>
      </c>
      <c r="L34" s="427"/>
      <c r="M34" s="361">
        <f t="shared" si="15"/>
        <v>34870</v>
      </c>
      <c r="N34" s="361"/>
      <c r="O34" s="333">
        <f t="shared" si="16"/>
        <v>34870</v>
      </c>
      <c r="P34" s="82"/>
      <c r="Q34" s="79">
        <v>14338.7</v>
      </c>
      <c r="R34" s="79"/>
      <c r="S34" s="76">
        <f t="shared" si="17"/>
        <v>14338.7</v>
      </c>
      <c r="T34" s="76"/>
      <c r="U34" s="20">
        <f t="shared" si="18"/>
        <v>14338.7</v>
      </c>
      <c r="V34" s="82">
        <v>5349.5</v>
      </c>
      <c r="W34" s="79">
        <v>30678.5</v>
      </c>
      <c r="X34" s="79"/>
      <c r="Y34" s="76">
        <f t="shared" si="19"/>
        <v>36028</v>
      </c>
      <c r="Z34" s="76"/>
      <c r="AA34" s="20">
        <f t="shared" si="20"/>
        <v>36028</v>
      </c>
      <c r="AB34" s="21">
        <f t="shared" si="12"/>
        <v>1.0332090622311443</v>
      </c>
      <c r="AC34" s="3"/>
      <c r="AD34" s="3"/>
    </row>
    <row r="35" spans="1:30" x14ac:dyDescent="0.25">
      <c r="A35" s="1"/>
      <c r="B35" s="22" t="s">
        <v>63</v>
      </c>
      <c r="C35" s="81" t="s">
        <v>64</v>
      </c>
      <c r="D35" s="363"/>
      <c r="E35" s="79">
        <v>182.9</v>
      </c>
      <c r="F35" s="79"/>
      <c r="G35" s="76">
        <f t="shared" si="13"/>
        <v>182.9</v>
      </c>
      <c r="H35" s="76"/>
      <c r="I35" s="20">
        <f t="shared" si="14"/>
        <v>182.9</v>
      </c>
      <c r="J35" s="426"/>
      <c r="K35" s="427">
        <v>200</v>
      </c>
      <c r="L35" s="427"/>
      <c r="M35" s="361">
        <f>SUM(J35:L35)</f>
        <v>200</v>
      </c>
      <c r="N35" s="361"/>
      <c r="O35" s="333">
        <f t="shared" si="16"/>
        <v>200</v>
      </c>
      <c r="P35" s="82">
        <v>16.600000000000001</v>
      </c>
      <c r="Q35" s="79">
        <v>112.4</v>
      </c>
      <c r="R35" s="79"/>
      <c r="S35" s="76">
        <f t="shared" si="17"/>
        <v>129</v>
      </c>
      <c r="T35" s="76"/>
      <c r="U35" s="20">
        <f t="shared" si="18"/>
        <v>129</v>
      </c>
      <c r="V35" s="82"/>
      <c r="W35" s="79">
        <v>100</v>
      </c>
      <c r="X35" s="79"/>
      <c r="Y35" s="76">
        <f t="shared" si="19"/>
        <v>100</v>
      </c>
      <c r="Z35" s="76"/>
      <c r="AA35" s="20">
        <f t="shared" si="20"/>
        <v>100</v>
      </c>
      <c r="AB35" s="21">
        <f t="shared" si="12"/>
        <v>0.5</v>
      </c>
      <c r="AC35" s="3"/>
      <c r="AD35" s="3"/>
    </row>
    <row r="36" spans="1:30" x14ac:dyDescent="0.25">
      <c r="A36" s="1"/>
      <c r="B36" s="22" t="s">
        <v>65</v>
      </c>
      <c r="C36" s="41" t="s">
        <v>66</v>
      </c>
      <c r="D36" s="363">
        <v>43.2</v>
      </c>
      <c r="E36" s="79">
        <v>10561</v>
      </c>
      <c r="F36" s="79"/>
      <c r="G36" s="76">
        <f t="shared" si="13"/>
        <v>10604.2</v>
      </c>
      <c r="H36" s="76"/>
      <c r="I36" s="20">
        <f t="shared" si="14"/>
        <v>10604.2</v>
      </c>
      <c r="J36" s="426">
        <v>46</v>
      </c>
      <c r="K36" s="427">
        <v>11600</v>
      </c>
      <c r="L36" s="427"/>
      <c r="M36" s="361">
        <f t="shared" ref="M36" si="21">SUM(J36:L36)</f>
        <v>11646</v>
      </c>
      <c r="N36" s="361"/>
      <c r="O36" s="333">
        <f t="shared" si="16"/>
        <v>11646</v>
      </c>
      <c r="P36" s="82">
        <v>46.9</v>
      </c>
      <c r="Q36" s="79">
        <v>4880.8</v>
      </c>
      <c r="R36" s="79"/>
      <c r="S36" s="76">
        <f t="shared" si="17"/>
        <v>4927.7</v>
      </c>
      <c r="T36" s="76"/>
      <c r="U36" s="20">
        <f t="shared" si="18"/>
        <v>4927.7</v>
      </c>
      <c r="V36" s="82">
        <v>1973.2</v>
      </c>
      <c r="W36" s="79">
        <v>10369</v>
      </c>
      <c r="X36" s="79"/>
      <c r="Y36" s="76">
        <f t="shared" si="19"/>
        <v>12342.2</v>
      </c>
      <c r="Z36" s="76"/>
      <c r="AA36" s="20">
        <f t="shared" si="20"/>
        <v>12342.2</v>
      </c>
      <c r="AB36" s="21">
        <f t="shared" si="12"/>
        <v>1.059780182036751</v>
      </c>
      <c r="AC36" s="3"/>
      <c r="AD36" s="3"/>
    </row>
    <row r="37" spans="1:30" x14ac:dyDescent="0.25">
      <c r="A37" s="1"/>
      <c r="B37" s="22" t="s">
        <v>67</v>
      </c>
      <c r="C37" s="41" t="s">
        <v>68</v>
      </c>
      <c r="D37" s="79"/>
      <c r="E37" s="79"/>
      <c r="F37" s="79"/>
      <c r="G37" s="76">
        <f t="shared" si="13"/>
        <v>0</v>
      </c>
      <c r="H37" s="76"/>
      <c r="I37" s="20">
        <f t="shared" si="14"/>
        <v>0</v>
      </c>
      <c r="J37" s="426"/>
      <c r="K37" s="427"/>
      <c r="L37" s="427"/>
      <c r="M37" s="361">
        <f t="shared" si="15"/>
        <v>0</v>
      </c>
      <c r="N37" s="361"/>
      <c r="O37" s="333">
        <f t="shared" si="16"/>
        <v>0</v>
      </c>
      <c r="P37" s="80"/>
      <c r="Q37" s="79"/>
      <c r="R37" s="79"/>
      <c r="S37" s="76">
        <f t="shared" si="17"/>
        <v>0</v>
      </c>
      <c r="T37" s="76"/>
      <c r="U37" s="20">
        <f t="shared" si="18"/>
        <v>0</v>
      </c>
      <c r="V37" s="80"/>
      <c r="W37" s="79"/>
      <c r="X37" s="79"/>
      <c r="Y37" s="76">
        <f t="shared" si="19"/>
        <v>0</v>
      </c>
      <c r="Z37" s="76"/>
      <c r="AA37" s="20">
        <f t="shared" si="20"/>
        <v>0</v>
      </c>
      <c r="AB37" s="21" t="e">
        <f t="shared" si="12"/>
        <v>#DIV/0!</v>
      </c>
      <c r="AC37" s="3"/>
      <c r="AD37" s="3"/>
    </row>
    <row r="38" spans="1:30" x14ac:dyDescent="0.25">
      <c r="A38" s="1"/>
      <c r="B38" s="22" t="s">
        <v>69</v>
      </c>
      <c r="C38" s="41" t="s">
        <v>70</v>
      </c>
      <c r="D38" s="79">
        <v>1797</v>
      </c>
      <c r="E38" s="79"/>
      <c r="F38" s="79"/>
      <c r="G38" s="76">
        <f t="shared" si="13"/>
        <v>1797</v>
      </c>
      <c r="H38" s="76"/>
      <c r="I38" s="20">
        <f t="shared" si="14"/>
        <v>1797</v>
      </c>
      <c r="J38" s="426">
        <v>1797</v>
      </c>
      <c r="K38" s="427"/>
      <c r="L38" s="427"/>
      <c r="M38" s="361">
        <f t="shared" si="15"/>
        <v>1797</v>
      </c>
      <c r="N38" s="361"/>
      <c r="O38" s="333">
        <f t="shared" si="16"/>
        <v>1797</v>
      </c>
      <c r="P38" s="80">
        <v>920.2</v>
      </c>
      <c r="Q38" s="79"/>
      <c r="R38" s="79"/>
      <c r="S38" s="76">
        <f t="shared" si="17"/>
        <v>920.2</v>
      </c>
      <c r="T38" s="76"/>
      <c r="U38" s="20">
        <f t="shared" si="18"/>
        <v>920.2</v>
      </c>
      <c r="V38" s="80">
        <v>2503</v>
      </c>
      <c r="W38" s="79"/>
      <c r="X38" s="79"/>
      <c r="Y38" s="76">
        <f t="shared" si="19"/>
        <v>2503</v>
      </c>
      <c r="Z38" s="76"/>
      <c r="AA38" s="20">
        <f t="shared" si="20"/>
        <v>2503</v>
      </c>
      <c r="AB38" s="21">
        <f t="shared" si="12"/>
        <v>1.3928770172509739</v>
      </c>
      <c r="AC38" s="3"/>
      <c r="AD38" s="3"/>
    </row>
    <row r="39" spans="1:30" ht="15.75" thickBot="1" x14ac:dyDescent="0.3">
      <c r="A39" s="1"/>
      <c r="B39" s="83" t="s">
        <v>71</v>
      </c>
      <c r="C39" s="84" t="s">
        <v>72</v>
      </c>
      <c r="D39" s="85">
        <v>314.10000000000002</v>
      </c>
      <c r="E39" s="85">
        <v>535.1</v>
      </c>
      <c r="F39" s="89">
        <v>470.6</v>
      </c>
      <c r="G39" s="76">
        <f t="shared" si="13"/>
        <v>1319.8000000000002</v>
      </c>
      <c r="H39" s="87"/>
      <c r="I39" s="50">
        <f t="shared" si="14"/>
        <v>1319.8000000000002</v>
      </c>
      <c r="J39" s="431">
        <v>325.5</v>
      </c>
      <c r="K39" s="432">
        <v>1380</v>
      </c>
      <c r="L39" s="432">
        <v>200</v>
      </c>
      <c r="M39" s="364">
        <f t="shared" si="15"/>
        <v>1905.5</v>
      </c>
      <c r="N39" s="364"/>
      <c r="O39" s="351">
        <f t="shared" si="16"/>
        <v>1905.5</v>
      </c>
      <c r="P39" s="88">
        <v>256.3</v>
      </c>
      <c r="Q39" s="89">
        <v>237.6</v>
      </c>
      <c r="R39" s="89">
        <v>35.5</v>
      </c>
      <c r="S39" s="87">
        <f t="shared" si="17"/>
        <v>529.4</v>
      </c>
      <c r="T39" s="87"/>
      <c r="U39" s="50">
        <f t="shared" si="18"/>
        <v>529.4</v>
      </c>
      <c r="V39" s="88">
        <v>350.2</v>
      </c>
      <c r="W39" s="89">
        <v>100</v>
      </c>
      <c r="X39" s="89">
        <v>200</v>
      </c>
      <c r="Y39" s="87">
        <f t="shared" si="19"/>
        <v>650.20000000000005</v>
      </c>
      <c r="Z39" s="87"/>
      <c r="AA39" s="50">
        <f t="shared" si="20"/>
        <v>650.20000000000005</v>
      </c>
      <c r="AB39" s="51">
        <f t="shared" si="12"/>
        <v>0.34122277617423252</v>
      </c>
      <c r="AC39" s="3"/>
      <c r="AD39" s="3"/>
    </row>
    <row r="40" spans="1:30" ht="15.75" thickBot="1" x14ac:dyDescent="0.3">
      <c r="A40" s="1"/>
      <c r="B40" s="52" t="s">
        <v>73</v>
      </c>
      <c r="C40" s="90" t="s">
        <v>74</v>
      </c>
      <c r="D40" s="91">
        <f>SUM(D36:D39)+SUM(D29:D33)</f>
        <v>6805.7</v>
      </c>
      <c r="E40" s="91">
        <f>SUM(E36:E39)+SUM(E29:E33)</f>
        <v>43531.4</v>
      </c>
      <c r="F40" s="91">
        <f>SUM(F36:F39)+SUM(F29:F33)</f>
        <v>2980.5</v>
      </c>
      <c r="G40" s="92">
        <f>SUM(D40:F40)</f>
        <v>53317.599999999999</v>
      </c>
      <c r="H40" s="93">
        <f>SUM(H29:H33)+SUM(H36:H39)</f>
        <v>494.3</v>
      </c>
      <c r="I40" s="94">
        <f>SUM(I36:I39)+SUM(I29:I33)</f>
        <v>53811.9</v>
      </c>
      <c r="J40" s="365">
        <f>SUM(J36:J39)+SUM(J29:J33)</f>
        <v>7418.7</v>
      </c>
      <c r="K40" s="365">
        <f>SUM(K36:K39)+SUM(K29:K33)</f>
        <v>48100</v>
      </c>
      <c r="L40" s="365">
        <f>SUM(L36:L39)+SUM(L29:L33)</f>
        <v>2700</v>
      </c>
      <c r="M40" s="366">
        <f>SUM(J40:L40)</f>
        <v>58218.7</v>
      </c>
      <c r="N40" s="367">
        <f>SUM(N29:N33)+SUM(N36:N39)</f>
        <v>400</v>
      </c>
      <c r="O40" s="368">
        <f>SUM(O36:O39)+SUM(O29:O33)</f>
        <v>58618.7</v>
      </c>
      <c r="P40" s="91">
        <f>SUM(P36:P39)+SUM(P29:P33)</f>
        <v>3749.1</v>
      </c>
      <c r="Q40" s="91">
        <f>SUM(Q36:Q39)+SUM(Q29:Q33)</f>
        <v>19673.2</v>
      </c>
      <c r="R40" s="91">
        <f>SUM(R36:R39)+SUM(R29:R33)</f>
        <v>1361.3</v>
      </c>
      <c r="S40" s="92">
        <f>SUM(P40:R40)</f>
        <v>24783.599999999999</v>
      </c>
      <c r="T40" s="93">
        <f>SUM(T29:T33)+SUM(T36:T39)</f>
        <v>0</v>
      </c>
      <c r="U40" s="94">
        <f>SUM(U36:U39)+SUM(U29:U33)</f>
        <v>24783.599999999999</v>
      </c>
      <c r="V40" s="91">
        <f>SUM(V36:V39)+SUM(V29:V33)</f>
        <v>15774.9</v>
      </c>
      <c r="W40" s="91">
        <f>SUM(W36:W39)+SUM(W29:W33)</f>
        <v>41247.5</v>
      </c>
      <c r="X40" s="91">
        <f>SUM(X36:X39)+SUM(X29:X33)</f>
        <v>2700</v>
      </c>
      <c r="Y40" s="92">
        <f>SUM(V40:X40)</f>
        <v>59722.400000000001</v>
      </c>
      <c r="Z40" s="93">
        <f>SUM(Z29:Z33)+SUM(Z36:Z39)</f>
        <v>400</v>
      </c>
      <c r="AA40" s="94">
        <f>SUM(AA36:AA39)+SUM(AA29:AA33)</f>
        <v>60122.400000000001</v>
      </c>
      <c r="AB40" s="95">
        <f t="shared" si="12"/>
        <v>1.0256522236078249</v>
      </c>
      <c r="AC40" s="3"/>
      <c r="AD40" s="3"/>
    </row>
    <row r="41" spans="1:30" ht="19.5" thickBot="1" x14ac:dyDescent="0.35">
      <c r="A41" s="1"/>
      <c r="B41" s="96" t="s">
        <v>75</v>
      </c>
      <c r="C41" s="97" t="s">
        <v>76</v>
      </c>
      <c r="D41" s="98">
        <f t="shared" ref="D41:AA41" si="22">D25-D40</f>
        <v>493.10000000000127</v>
      </c>
      <c r="E41" s="98">
        <f t="shared" si="22"/>
        <v>-492.19999999999709</v>
      </c>
      <c r="F41" s="98">
        <f t="shared" si="22"/>
        <v>0</v>
      </c>
      <c r="G41" s="99">
        <f t="shared" si="22"/>
        <v>0.90000000000873115</v>
      </c>
      <c r="H41" s="99">
        <f t="shared" si="22"/>
        <v>56.099999999999966</v>
      </c>
      <c r="I41" s="100">
        <f t="shared" si="22"/>
        <v>57.099999999998545</v>
      </c>
      <c r="J41" s="98">
        <f t="shared" si="22"/>
        <v>0</v>
      </c>
      <c r="K41" s="98">
        <f t="shared" si="22"/>
        <v>0</v>
      </c>
      <c r="L41" s="98">
        <f t="shared" si="22"/>
        <v>0</v>
      </c>
      <c r="M41" s="369">
        <f t="shared" si="22"/>
        <v>0</v>
      </c>
      <c r="N41" s="369">
        <f t="shared" si="22"/>
        <v>0</v>
      </c>
      <c r="O41" s="370">
        <f t="shared" si="22"/>
        <v>0</v>
      </c>
      <c r="P41" s="98">
        <f t="shared" si="22"/>
        <v>254.90000000000009</v>
      </c>
      <c r="Q41" s="98">
        <f t="shared" si="22"/>
        <v>1835</v>
      </c>
      <c r="R41" s="98">
        <f t="shared" si="22"/>
        <v>162.09999999999991</v>
      </c>
      <c r="S41" s="99">
        <f t="shared" si="22"/>
        <v>2252.0000000000036</v>
      </c>
      <c r="T41" s="99">
        <f t="shared" si="22"/>
        <v>277.2</v>
      </c>
      <c r="U41" s="100">
        <f t="shared" si="22"/>
        <v>2529.2000000000007</v>
      </c>
      <c r="V41" s="98">
        <f t="shared" si="22"/>
        <v>0</v>
      </c>
      <c r="W41" s="98">
        <f t="shared" si="22"/>
        <v>0</v>
      </c>
      <c r="X41" s="98">
        <f t="shared" si="22"/>
        <v>0</v>
      </c>
      <c r="Y41" s="99">
        <f t="shared" si="22"/>
        <v>0</v>
      </c>
      <c r="Z41" s="99">
        <f t="shared" si="22"/>
        <v>0</v>
      </c>
      <c r="AA41" s="100">
        <f t="shared" si="22"/>
        <v>0</v>
      </c>
      <c r="AB41" s="104" t="e">
        <f t="shared" si="12"/>
        <v>#DIV/0!</v>
      </c>
      <c r="AC41" s="3"/>
      <c r="AD41" s="3"/>
    </row>
    <row r="42" spans="1:30" ht="15.75" thickBot="1" x14ac:dyDescent="0.3">
      <c r="A42" s="1"/>
      <c r="B42" s="105" t="s">
        <v>77</v>
      </c>
      <c r="C42" s="106" t="s">
        <v>78</v>
      </c>
      <c r="D42" s="107"/>
      <c r="E42" s="108"/>
      <c r="F42" s="108"/>
      <c r="G42" s="109"/>
      <c r="H42" s="110"/>
      <c r="I42" s="111">
        <f>I41-D16</f>
        <v>-5313.0000000000018</v>
      </c>
      <c r="J42" s="107"/>
      <c r="K42" s="108"/>
      <c r="L42" s="108"/>
      <c r="M42" s="109"/>
      <c r="N42" s="113"/>
      <c r="O42" s="111">
        <f>O41-J16</f>
        <v>-5900</v>
      </c>
      <c r="P42" s="107"/>
      <c r="Q42" s="108"/>
      <c r="R42" s="108"/>
      <c r="S42" s="109"/>
      <c r="T42" s="113"/>
      <c r="U42" s="111">
        <f>U41-P16</f>
        <v>-420.99999999999909</v>
      </c>
      <c r="V42" s="107"/>
      <c r="W42" s="108"/>
      <c r="X42" s="108"/>
      <c r="Y42" s="109"/>
      <c r="Z42" s="113"/>
      <c r="AA42" s="111">
        <f>AA41-V16</f>
        <v>-6349</v>
      </c>
      <c r="AB42" s="21">
        <f t="shared" si="12"/>
        <v>1.0761016949152542</v>
      </c>
      <c r="AC42" s="3"/>
      <c r="AD42" s="3"/>
    </row>
    <row r="43" spans="1:30" s="121" customFormat="1" ht="8.25" customHeight="1" thickBot="1" x14ac:dyDescent="0.3">
      <c r="A43" s="115"/>
      <c r="B43" s="116"/>
      <c r="C43" s="117"/>
      <c r="D43" s="118"/>
      <c r="E43" s="119"/>
      <c r="F43" s="119"/>
      <c r="G43" s="115"/>
      <c r="H43" s="119"/>
      <c r="I43" s="119"/>
      <c r="J43" s="118"/>
      <c r="K43" s="119"/>
      <c r="L43" s="119"/>
      <c r="M43" s="115"/>
      <c r="N43" s="119"/>
      <c r="O43" s="119"/>
      <c r="P43" s="119"/>
      <c r="Q43" s="119"/>
      <c r="R43" s="119"/>
      <c r="S43" s="119"/>
      <c r="T43" s="119"/>
      <c r="U43" s="119"/>
      <c r="V43" s="120"/>
      <c r="W43" s="120"/>
      <c r="X43" s="120"/>
      <c r="Y43" s="120"/>
      <c r="Z43" s="120"/>
      <c r="AA43" s="120"/>
      <c r="AB43" s="120"/>
      <c r="AC43" s="120"/>
      <c r="AD43" s="120"/>
    </row>
    <row r="44" spans="1:30" s="121" customFormat="1" ht="15.75" customHeight="1" thickBot="1" x14ac:dyDescent="0.3">
      <c r="A44" s="115"/>
      <c r="B44" s="122"/>
      <c r="C44" s="582" t="s">
        <v>79</v>
      </c>
      <c r="D44" s="123" t="s">
        <v>80</v>
      </c>
      <c r="E44" s="124" t="s">
        <v>81</v>
      </c>
      <c r="F44" s="125" t="s">
        <v>82</v>
      </c>
      <c r="G44" s="119"/>
      <c r="H44" s="119"/>
      <c r="I44" s="126"/>
      <c r="J44" s="123" t="s">
        <v>80</v>
      </c>
      <c r="K44" s="124" t="s">
        <v>81</v>
      </c>
      <c r="L44" s="125" t="s">
        <v>82</v>
      </c>
      <c r="M44" s="119"/>
      <c r="N44" s="119"/>
      <c r="O44" s="119"/>
      <c r="P44" s="123" t="s">
        <v>80</v>
      </c>
      <c r="Q44" s="124" t="s">
        <v>81</v>
      </c>
      <c r="R44" s="125" t="s">
        <v>82</v>
      </c>
      <c r="S44" s="120"/>
      <c r="T44" s="120"/>
      <c r="U44" s="120"/>
      <c r="V44" s="123" t="s">
        <v>80</v>
      </c>
      <c r="W44" s="124" t="s">
        <v>81</v>
      </c>
      <c r="X44" s="125" t="s">
        <v>82</v>
      </c>
      <c r="Y44" s="120"/>
      <c r="Z44" s="120"/>
      <c r="AA44" s="120"/>
      <c r="AB44" s="120"/>
      <c r="AC44" s="120"/>
      <c r="AD44" s="120"/>
    </row>
    <row r="45" spans="1:30" ht="15.75" thickBot="1" x14ac:dyDescent="0.3">
      <c r="A45" s="1"/>
      <c r="B45" s="122"/>
      <c r="C45" s="583"/>
      <c r="D45" s="127">
        <v>392.1</v>
      </c>
      <c r="E45" s="128">
        <v>392.1</v>
      </c>
      <c r="F45" s="129">
        <v>0</v>
      </c>
      <c r="G45" s="119"/>
      <c r="H45" s="119"/>
      <c r="I45" s="126"/>
      <c r="J45" s="127">
        <v>392.1</v>
      </c>
      <c r="K45" s="128">
        <v>392.1</v>
      </c>
      <c r="L45" s="129">
        <v>0</v>
      </c>
      <c r="M45" s="130"/>
      <c r="N45" s="130"/>
      <c r="O45" s="130"/>
      <c r="P45" s="127">
        <v>392.1</v>
      </c>
      <c r="Q45" s="128">
        <v>196</v>
      </c>
      <c r="R45" s="129">
        <v>0</v>
      </c>
      <c r="S45" s="3"/>
      <c r="T45" s="3"/>
      <c r="U45" s="3"/>
      <c r="V45" s="127">
        <v>392.1</v>
      </c>
      <c r="W45" s="128">
        <v>392.1</v>
      </c>
      <c r="X45" s="129">
        <v>0</v>
      </c>
      <c r="Y45" s="3"/>
      <c r="Z45" s="3"/>
      <c r="AA45" s="3"/>
      <c r="AB45" s="3"/>
      <c r="AC45" s="3"/>
      <c r="AD45" s="3"/>
    </row>
    <row r="46" spans="1:30" s="121" customFormat="1" ht="8.25" customHeight="1" thickBot="1" x14ac:dyDescent="0.3">
      <c r="A46" s="115"/>
      <c r="B46" s="122"/>
      <c r="C46" s="117"/>
      <c r="D46" s="130"/>
      <c r="E46" s="119"/>
      <c r="F46" s="119"/>
      <c r="G46" s="119"/>
      <c r="H46" s="119"/>
      <c r="I46" s="126"/>
      <c r="J46" s="119"/>
      <c r="K46" s="119"/>
      <c r="L46" s="119"/>
      <c r="M46" s="119"/>
      <c r="N46" s="119"/>
      <c r="O46" s="126"/>
      <c r="P46" s="126"/>
      <c r="Q46" s="126"/>
      <c r="R46" s="126"/>
      <c r="S46" s="126"/>
      <c r="T46" s="126"/>
      <c r="U46" s="126"/>
      <c r="V46" s="120"/>
      <c r="W46" s="120"/>
      <c r="X46" s="120"/>
      <c r="Y46" s="120"/>
      <c r="Z46" s="120"/>
      <c r="AA46" s="120"/>
      <c r="AB46" s="120"/>
      <c r="AC46" s="120"/>
      <c r="AD46" s="120"/>
    </row>
    <row r="47" spans="1:30" s="121" customFormat="1" ht="37.5" customHeight="1" thickBot="1" x14ac:dyDescent="0.3">
      <c r="A47" s="115"/>
      <c r="B47" s="122"/>
      <c r="C47" s="582" t="s">
        <v>83</v>
      </c>
      <c r="D47" s="131" t="s">
        <v>84</v>
      </c>
      <c r="E47" s="132" t="s">
        <v>85</v>
      </c>
      <c r="F47" s="119"/>
      <c r="G47" s="119" t="s">
        <v>227</v>
      </c>
      <c r="H47" s="119"/>
      <c r="I47" s="126"/>
      <c r="J47" s="131" t="s">
        <v>84</v>
      </c>
      <c r="K47" s="132" t="s">
        <v>85</v>
      </c>
      <c r="L47" s="133"/>
      <c r="M47" s="133"/>
      <c r="N47" s="120"/>
      <c r="O47" s="120"/>
      <c r="P47" s="131" t="s">
        <v>84</v>
      </c>
      <c r="Q47" s="132" t="s">
        <v>85</v>
      </c>
      <c r="R47" s="120"/>
      <c r="S47" s="120"/>
      <c r="T47" s="120"/>
      <c r="U47" s="120"/>
      <c r="V47" s="131" t="s">
        <v>84</v>
      </c>
      <c r="W47" s="132" t="s">
        <v>85</v>
      </c>
      <c r="X47" s="120"/>
      <c r="Y47" s="120"/>
      <c r="Z47" s="120"/>
      <c r="AA47" s="120"/>
      <c r="AB47" s="120"/>
      <c r="AC47" s="120"/>
      <c r="AD47" s="120"/>
    </row>
    <row r="48" spans="1:30" ht="15.75" thickBot="1" x14ac:dyDescent="0.3">
      <c r="A48" s="1"/>
      <c r="B48" s="134"/>
      <c r="C48" s="584"/>
      <c r="D48" s="127">
        <v>0</v>
      </c>
      <c r="E48" s="135">
        <v>0</v>
      </c>
      <c r="F48" s="119"/>
      <c r="G48" s="119"/>
      <c r="H48" s="119"/>
      <c r="I48" s="126"/>
      <c r="J48" s="127">
        <v>0</v>
      </c>
      <c r="K48" s="135">
        <v>0</v>
      </c>
      <c r="L48" s="136"/>
      <c r="M48" s="136"/>
      <c r="N48" s="3"/>
      <c r="O48" s="3"/>
      <c r="P48" s="127">
        <v>0</v>
      </c>
      <c r="Q48" s="135">
        <v>0</v>
      </c>
      <c r="R48" s="3"/>
      <c r="S48" s="3"/>
      <c r="T48" s="3"/>
      <c r="U48" s="3"/>
      <c r="V48" s="127">
        <v>0</v>
      </c>
      <c r="W48" s="135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34"/>
      <c r="C49" s="117"/>
      <c r="D49" s="119"/>
      <c r="E49" s="119"/>
      <c r="F49" s="119"/>
      <c r="G49" s="119"/>
      <c r="H49" s="119"/>
      <c r="I49" s="126"/>
      <c r="J49" s="119"/>
      <c r="K49" s="119"/>
      <c r="L49" s="119"/>
      <c r="M49" s="119"/>
      <c r="N49" s="119"/>
      <c r="O49" s="126"/>
      <c r="P49" s="126"/>
      <c r="Q49" s="126"/>
      <c r="R49" s="126"/>
      <c r="S49" s="126"/>
      <c r="T49" s="126"/>
      <c r="U49" s="126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1"/>
      <c r="B50" s="134"/>
      <c r="C50" s="137" t="s">
        <v>86</v>
      </c>
      <c r="D50" s="138" t="s">
        <v>87</v>
      </c>
      <c r="E50" s="138" t="s">
        <v>88</v>
      </c>
      <c r="F50" s="138" t="s">
        <v>89</v>
      </c>
      <c r="G50" s="138" t="s">
        <v>90</v>
      </c>
      <c r="H50" s="119"/>
      <c r="I50" s="3"/>
      <c r="J50" s="138" t="s">
        <v>87</v>
      </c>
      <c r="K50" s="138" t="s">
        <v>88</v>
      </c>
      <c r="L50" s="138" t="s">
        <v>89</v>
      </c>
      <c r="M50" s="138" t="s">
        <v>91</v>
      </c>
      <c r="N50" s="3"/>
      <c r="O50" s="3"/>
      <c r="P50" s="138" t="s">
        <v>87</v>
      </c>
      <c r="Q50" s="138" t="s">
        <v>88</v>
      </c>
      <c r="R50" s="138" t="s">
        <v>89</v>
      </c>
      <c r="S50" s="138" t="s">
        <v>91</v>
      </c>
      <c r="T50" s="3"/>
      <c r="U50" s="3"/>
      <c r="V50" s="138" t="s">
        <v>92</v>
      </c>
      <c r="W50" s="138" t="s">
        <v>88</v>
      </c>
      <c r="X50" s="138" t="s">
        <v>89</v>
      </c>
      <c r="Y50" s="138" t="s">
        <v>91</v>
      </c>
      <c r="Z50" s="3"/>
      <c r="AA50" s="3"/>
      <c r="AB50" s="3"/>
      <c r="AC50" s="3"/>
      <c r="AD50" s="3"/>
    </row>
    <row r="51" spans="1:30" x14ac:dyDescent="0.25">
      <c r="A51" s="1"/>
      <c r="B51" s="134"/>
      <c r="C51" s="139" t="s">
        <v>93</v>
      </c>
      <c r="D51" s="140">
        <v>3641.8</v>
      </c>
      <c r="E51" s="140">
        <v>1576</v>
      </c>
      <c r="F51" s="140">
        <v>1872.2</v>
      </c>
      <c r="G51" s="141">
        <f>D51+E51-F51</f>
        <v>3345.6000000000004</v>
      </c>
      <c r="H51" s="119"/>
      <c r="I51" s="3"/>
      <c r="J51" s="141">
        <v>3090</v>
      </c>
      <c r="K51" s="140">
        <v>1022</v>
      </c>
      <c r="L51" s="140">
        <v>1150</v>
      </c>
      <c r="M51" s="141">
        <f>J51+K51-L51</f>
        <v>2962</v>
      </c>
      <c r="N51" s="3"/>
      <c r="O51" s="3"/>
      <c r="P51" s="140">
        <v>3345.6</v>
      </c>
      <c r="Q51" s="140">
        <v>771.4</v>
      </c>
      <c r="R51" s="140">
        <v>904.1</v>
      </c>
      <c r="S51" s="141">
        <f>P51+Q51-R51</f>
        <v>3212.9</v>
      </c>
      <c r="T51" s="3"/>
      <c r="U51" s="3"/>
      <c r="V51" s="140">
        <v>3212.9</v>
      </c>
      <c r="W51" s="140">
        <v>1390</v>
      </c>
      <c r="X51" s="140">
        <v>680</v>
      </c>
      <c r="Y51" s="141">
        <f>V51+W51-X51</f>
        <v>3922.8999999999996</v>
      </c>
      <c r="Z51" s="3"/>
      <c r="AA51" s="3"/>
      <c r="AB51" s="3"/>
      <c r="AC51" s="3"/>
      <c r="AD51" s="3"/>
    </row>
    <row r="52" spans="1:30" x14ac:dyDescent="0.25">
      <c r="A52" s="1"/>
      <c r="B52" s="134"/>
      <c r="C52" s="139" t="s">
        <v>94</v>
      </c>
      <c r="D52" s="140">
        <v>1952.8</v>
      </c>
      <c r="E52" s="140">
        <v>302.2</v>
      </c>
      <c r="F52" s="140">
        <v>882.1</v>
      </c>
      <c r="G52" s="141">
        <f t="shared" ref="G52:G55" si="23">D52+E52-F52</f>
        <v>1372.9</v>
      </c>
      <c r="H52" s="119"/>
      <c r="I52" s="3"/>
      <c r="J52" s="141">
        <v>1810</v>
      </c>
      <c r="K52" s="140">
        <v>300</v>
      </c>
      <c r="L52" s="140">
        <v>250</v>
      </c>
      <c r="M52" s="141">
        <f t="shared" ref="M52:M55" si="24">J52+K52-L52</f>
        <v>1860</v>
      </c>
      <c r="N52" s="3"/>
      <c r="O52" s="3"/>
      <c r="P52" s="140">
        <v>1372.9</v>
      </c>
      <c r="Q52" s="140">
        <v>118.4</v>
      </c>
      <c r="R52" s="140">
        <v>408</v>
      </c>
      <c r="S52" s="141">
        <f t="shared" ref="S52:S55" si="25">P52+Q52-R52</f>
        <v>1083.3000000000002</v>
      </c>
      <c r="T52" s="3"/>
      <c r="U52" s="3"/>
      <c r="V52" s="140">
        <v>1083.3</v>
      </c>
      <c r="W52" s="140">
        <v>100</v>
      </c>
      <c r="X52" s="140">
        <v>100</v>
      </c>
      <c r="Y52" s="141">
        <f t="shared" ref="Y52:Y55" si="26">V52+W52-X52</f>
        <v>1083.3</v>
      </c>
      <c r="Z52" s="3"/>
      <c r="AA52" s="3"/>
      <c r="AB52" s="3"/>
      <c r="AC52" s="3"/>
      <c r="AD52" s="3"/>
    </row>
    <row r="53" spans="1:30" x14ac:dyDescent="0.25">
      <c r="A53" s="1"/>
      <c r="B53" s="134"/>
      <c r="C53" s="139" t="s">
        <v>95</v>
      </c>
      <c r="D53" s="140">
        <v>1131.0999999999999</v>
      </c>
      <c r="E53" s="140">
        <v>893.2</v>
      </c>
      <c r="F53" s="140">
        <v>392.1</v>
      </c>
      <c r="G53" s="141">
        <f t="shared" si="23"/>
        <v>1632.1999999999998</v>
      </c>
      <c r="H53" s="119"/>
      <c r="I53" s="3"/>
      <c r="J53" s="141">
        <v>950</v>
      </c>
      <c r="K53" s="140">
        <v>392</v>
      </c>
      <c r="L53" s="140">
        <v>500</v>
      </c>
      <c r="M53" s="141">
        <f t="shared" si="24"/>
        <v>842</v>
      </c>
      <c r="N53" s="3"/>
      <c r="O53" s="3"/>
      <c r="P53" s="140">
        <v>1632.2</v>
      </c>
      <c r="Q53" s="140">
        <v>498.3</v>
      </c>
      <c r="R53" s="140">
        <v>300</v>
      </c>
      <c r="S53" s="141">
        <f t="shared" si="25"/>
        <v>1830.5</v>
      </c>
      <c r="T53" s="3"/>
      <c r="U53" s="3"/>
      <c r="V53" s="477">
        <v>1830.5</v>
      </c>
      <c r="W53" s="140">
        <v>1080</v>
      </c>
      <c r="X53" s="140">
        <v>300</v>
      </c>
      <c r="Y53" s="141">
        <f t="shared" si="26"/>
        <v>2610.5</v>
      </c>
      <c r="Z53" s="3"/>
      <c r="AA53" s="3"/>
      <c r="AB53" s="3"/>
      <c r="AC53" s="3"/>
      <c r="AD53" s="3"/>
    </row>
    <row r="54" spans="1:30" x14ac:dyDescent="0.25">
      <c r="A54" s="1"/>
      <c r="B54" s="134"/>
      <c r="C54" s="139" t="s">
        <v>96</v>
      </c>
      <c r="D54" s="140">
        <v>303.10000000000002</v>
      </c>
      <c r="E54" s="140">
        <v>63.4</v>
      </c>
      <c r="F54" s="140">
        <v>137.1</v>
      </c>
      <c r="G54" s="141">
        <f t="shared" si="23"/>
        <v>229.4</v>
      </c>
      <c r="H54" s="119"/>
      <c r="I54" s="3"/>
      <c r="J54" s="141">
        <v>300</v>
      </c>
      <c r="K54" s="140">
        <v>30</v>
      </c>
      <c r="L54" s="140">
        <v>100</v>
      </c>
      <c r="M54" s="141">
        <f t="shared" si="24"/>
        <v>230</v>
      </c>
      <c r="N54" s="3"/>
      <c r="O54" s="3"/>
      <c r="P54" s="140">
        <v>229.4</v>
      </c>
      <c r="Q54" s="140">
        <v>11.4</v>
      </c>
      <c r="R54" s="140">
        <v>0</v>
      </c>
      <c r="S54" s="141">
        <f t="shared" si="25"/>
        <v>240.8</v>
      </c>
      <c r="T54" s="3"/>
      <c r="U54" s="3"/>
      <c r="V54" s="140">
        <v>240.8</v>
      </c>
      <c r="W54" s="140">
        <v>50</v>
      </c>
      <c r="X54" s="140">
        <v>100</v>
      </c>
      <c r="Y54" s="141">
        <f t="shared" si="26"/>
        <v>190.8</v>
      </c>
      <c r="Z54" s="3"/>
      <c r="AA54" s="3"/>
      <c r="AB54" s="3"/>
      <c r="AC54" s="3"/>
      <c r="AD54" s="3"/>
    </row>
    <row r="55" spans="1:30" x14ac:dyDescent="0.25">
      <c r="A55" s="1"/>
      <c r="B55" s="134"/>
      <c r="C55" s="142" t="s">
        <v>97</v>
      </c>
      <c r="D55" s="140">
        <v>254.8</v>
      </c>
      <c r="E55" s="140">
        <v>317.2</v>
      </c>
      <c r="F55" s="140">
        <v>460.9</v>
      </c>
      <c r="G55" s="141">
        <f t="shared" si="23"/>
        <v>111.10000000000002</v>
      </c>
      <c r="H55" s="119"/>
      <c r="I55" s="3"/>
      <c r="J55" s="141">
        <v>30</v>
      </c>
      <c r="K55" s="140">
        <v>300</v>
      </c>
      <c r="L55" s="140">
        <v>300</v>
      </c>
      <c r="M55" s="141">
        <f t="shared" si="24"/>
        <v>30</v>
      </c>
      <c r="N55" s="3"/>
      <c r="O55" s="3"/>
      <c r="P55" s="140">
        <v>111.1</v>
      </c>
      <c r="Q55" s="140">
        <v>143.30000000000001</v>
      </c>
      <c r="R55" s="140">
        <v>196.1</v>
      </c>
      <c r="S55" s="141">
        <f t="shared" si="25"/>
        <v>58.300000000000011</v>
      </c>
      <c r="T55" s="3"/>
      <c r="U55" s="3"/>
      <c r="V55" s="140">
        <v>58.3</v>
      </c>
      <c r="W55" s="140">
        <v>160</v>
      </c>
      <c r="X55" s="140">
        <v>180</v>
      </c>
      <c r="Y55" s="141">
        <f t="shared" si="26"/>
        <v>38.300000000000011</v>
      </c>
      <c r="Z55" s="3"/>
      <c r="AA55" s="3"/>
      <c r="AB55" s="3"/>
      <c r="AC55" s="3"/>
      <c r="AD55" s="3"/>
    </row>
    <row r="56" spans="1:30" ht="10.5" customHeight="1" x14ac:dyDescent="0.25">
      <c r="A56" s="1"/>
      <c r="B56" s="134"/>
      <c r="C56" s="117"/>
      <c r="D56" s="119"/>
      <c r="E56" s="119"/>
      <c r="F56" s="119"/>
      <c r="G56" s="119"/>
      <c r="H56" s="11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34"/>
      <c r="C57" s="137" t="s">
        <v>98</v>
      </c>
      <c r="D57" s="138" t="s">
        <v>99</v>
      </c>
      <c r="E57" s="138" t="s">
        <v>100</v>
      </c>
      <c r="F57" s="119"/>
      <c r="G57" s="119"/>
      <c r="H57" s="119"/>
      <c r="I57" s="126"/>
      <c r="J57" s="138" t="s">
        <v>101</v>
      </c>
      <c r="K57" s="119"/>
      <c r="L57" s="119"/>
      <c r="M57" s="119"/>
      <c r="N57" s="119"/>
      <c r="O57" s="126"/>
      <c r="P57" s="138" t="s">
        <v>102</v>
      </c>
      <c r="Q57" s="126"/>
      <c r="R57" s="126"/>
      <c r="S57" s="3"/>
      <c r="T57" s="3"/>
      <c r="U57" s="3"/>
      <c r="V57" s="704" t="s">
        <v>98</v>
      </c>
      <c r="W57" s="704"/>
      <c r="X57" s="704"/>
      <c r="Y57" s="138" t="s">
        <v>101</v>
      </c>
      <c r="Z57" s="3"/>
      <c r="AA57" s="3"/>
      <c r="AB57" s="3"/>
      <c r="AC57" s="3"/>
      <c r="AD57" s="3"/>
    </row>
    <row r="58" spans="1:30" x14ac:dyDescent="0.25">
      <c r="A58" s="1"/>
      <c r="B58" s="134"/>
      <c r="C58" s="371" t="s">
        <v>128</v>
      </c>
      <c r="D58" s="372">
        <v>58.7</v>
      </c>
      <c r="E58" s="372">
        <v>58.4</v>
      </c>
      <c r="F58" s="119"/>
      <c r="G58" s="119"/>
      <c r="H58" s="119"/>
      <c r="I58" s="126"/>
      <c r="J58" s="143">
        <v>59</v>
      </c>
      <c r="K58" s="119"/>
      <c r="L58" s="119"/>
      <c r="M58" s="119"/>
      <c r="N58" s="119"/>
      <c r="O58" s="126"/>
      <c r="P58" s="143">
        <v>56.7</v>
      </c>
      <c r="Q58" s="126"/>
      <c r="R58" s="126"/>
      <c r="S58" s="3"/>
      <c r="T58" s="3"/>
      <c r="U58" s="3"/>
      <c r="V58" s="698" t="s">
        <v>128</v>
      </c>
      <c r="W58" s="698"/>
      <c r="X58" s="698"/>
      <c r="Y58" s="143">
        <v>59.7</v>
      </c>
      <c r="Z58" s="3"/>
      <c r="AA58" s="3"/>
      <c r="AB58" s="3"/>
      <c r="AC58" s="3"/>
      <c r="AD58" s="3"/>
    </row>
    <row r="59" spans="1:30" x14ac:dyDescent="0.25">
      <c r="A59" s="1"/>
      <c r="B59" s="134"/>
      <c r="C59" s="373"/>
      <c r="D59" s="374"/>
      <c r="E59" s="374"/>
      <c r="F59" s="119"/>
      <c r="G59" s="119"/>
      <c r="H59" s="119"/>
      <c r="I59" s="126"/>
      <c r="J59" s="130"/>
      <c r="K59" s="119"/>
      <c r="L59" s="119"/>
      <c r="M59" s="119"/>
      <c r="N59" s="119"/>
      <c r="O59" s="126"/>
      <c r="P59" s="130"/>
      <c r="Q59" s="126"/>
      <c r="R59" s="126"/>
      <c r="S59" s="3"/>
      <c r="T59" s="3"/>
      <c r="U59" s="3"/>
      <c r="V59" s="698" t="s">
        <v>129</v>
      </c>
      <c r="W59" s="698"/>
      <c r="X59" s="698"/>
      <c r="Y59" s="143">
        <v>13.7</v>
      </c>
      <c r="Z59" s="3"/>
      <c r="AA59" s="3"/>
      <c r="AB59" s="3"/>
      <c r="AC59" s="3"/>
      <c r="AD59" s="3"/>
    </row>
    <row r="60" spans="1:30" s="3" customFormat="1" x14ac:dyDescent="0.25">
      <c r="A60" s="1"/>
      <c r="B60" s="134"/>
      <c r="C60" s="117"/>
      <c r="D60" s="130"/>
      <c r="E60" s="130"/>
      <c r="F60" s="119"/>
      <c r="G60" s="119"/>
      <c r="H60" s="119"/>
      <c r="I60" s="126"/>
      <c r="J60" s="130"/>
      <c r="K60" s="119"/>
      <c r="L60" s="119"/>
      <c r="M60" s="119"/>
      <c r="N60" s="119"/>
      <c r="O60" s="126"/>
      <c r="P60" s="130"/>
      <c r="Q60" s="126"/>
      <c r="R60" s="126"/>
      <c r="S60" s="126"/>
      <c r="T60" s="126"/>
      <c r="U60" s="126"/>
      <c r="V60" s="130"/>
    </row>
    <row r="61" spans="1:30" x14ac:dyDescent="0.25">
      <c r="A61" s="1"/>
      <c r="B61" s="134"/>
      <c r="C61" s="117"/>
      <c r="D61" s="699"/>
      <c r="E61" s="699"/>
      <c r="F61" s="119"/>
      <c r="G61" s="119"/>
      <c r="H61" s="119"/>
      <c r="I61" s="126"/>
      <c r="J61" s="375"/>
      <c r="K61" s="119"/>
      <c r="L61" s="119"/>
      <c r="M61" s="119"/>
      <c r="N61" s="119"/>
      <c r="O61" s="126"/>
      <c r="P61" s="375"/>
      <c r="Q61" s="126"/>
      <c r="R61" s="126"/>
      <c r="S61" s="126"/>
      <c r="T61" s="126"/>
      <c r="U61" s="126"/>
      <c r="V61" s="700" t="s">
        <v>130</v>
      </c>
      <c r="W61" s="701"/>
      <c r="X61" s="702"/>
      <c r="Y61" s="143">
        <v>5199.5</v>
      </c>
      <c r="Z61" s="3"/>
      <c r="AA61" s="3"/>
      <c r="AB61" s="3"/>
      <c r="AC61" s="3"/>
      <c r="AD61" s="3"/>
    </row>
    <row r="62" spans="1:30" s="3" customFormat="1" x14ac:dyDescent="0.25">
      <c r="A62" s="1"/>
      <c r="B62" s="134"/>
      <c r="C62" s="117"/>
      <c r="D62" s="375"/>
      <c r="E62" s="375"/>
      <c r="F62" s="119"/>
      <c r="G62" s="119"/>
      <c r="H62" s="119"/>
      <c r="I62" s="126"/>
      <c r="J62" s="375"/>
      <c r="K62" s="119"/>
      <c r="L62" s="119"/>
      <c r="M62" s="119"/>
      <c r="N62" s="119"/>
      <c r="O62" s="126"/>
      <c r="P62" s="375"/>
      <c r="Q62" s="126"/>
      <c r="R62" s="126"/>
      <c r="S62" s="126"/>
      <c r="T62" s="126"/>
      <c r="U62" s="126"/>
      <c r="V62" s="130"/>
    </row>
    <row r="63" spans="1:30" x14ac:dyDescent="0.25">
      <c r="A63" s="1"/>
      <c r="B63" s="134"/>
      <c r="C63" s="3"/>
      <c r="D63" s="3"/>
      <c r="E63" s="3"/>
      <c r="F63" s="118"/>
      <c r="G63" s="119"/>
      <c r="H63" s="119"/>
      <c r="I63" s="126"/>
      <c r="J63" s="375"/>
      <c r="K63" s="375"/>
      <c r="L63" s="3"/>
      <c r="M63" s="376"/>
      <c r="N63" s="3"/>
      <c r="O63" s="3"/>
      <c r="P63" s="3"/>
      <c r="Q63" s="118"/>
      <c r="R63" s="3"/>
      <c r="S63" s="3"/>
      <c r="T63" s="3"/>
      <c r="U63" s="703" t="s">
        <v>131</v>
      </c>
      <c r="V63" s="703"/>
      <c r="W63" s="703"/>
      <c r="X63" s="703"/>
      <c r="Y63" s="377" t="s">
        <v>132</v>
      </c>
      <c r="Z63" s="3"/>
      <c r="AA63" s="378" t="s">
        <v>133</v>
      </c>
      <c r="AB63" s="379"/>
      <c r="AC63" s="3"/>
      <c r="AD63" s="4"/>
    </row>
    <row r="64" spans="1:30" x14ac:dyDescent="0.25">
      <c r="A64" s="1"/>
      <c r="B64" s="134"/>
      <c r="C64" s="3"/>
      <c r="D64" s="3"/>
      <c r="E64" s="3"/>
      <c r="F64" s="119"/>
      <c r="G64" s="119"/>
      <c r="H64" s="119"/>
      <c r="I64" s="126"/>
      <c r="J64" s="375"/>
      <c r="K64" s="375"/>
      <c r="L64" s="3"/>
      <c r="M64" s="376"/>
      <c r="N64" s="3"/>
      <c r="O64" s="3"/>
      <c r="P64" s="3"/>
      <c r="Q64" s="119"/>
      <c r="R64" s="3"/>
      <c r="S64" s="3"/>
      <c r="T64" s="3"/>
      <c r="U64" s="698" t="s">
        <v>134</v>
      </c>
      <c r="V64" s="698"/>
      <c r="W64" s="698"/>
      <c r="X64" s="698"/>
      <c r="Y64" s="380">
        <v>5199.5</v>
      </c>
      <c r="Z64" s="3"/>
      <c r="AA64" s="381" t="s">
        <v>135</v>
      </c>
      <c r="AB64" s="382">
        <v>472.2</v>
      </c>
      <c r="AC64" s="3"/>
      <c r="AD64" s="4"/>
    </row>
    <row r="65" spans="1:30" x14ac:dyDescent="0.25">
      <c r="A65" s="1"/>
      <c r="B65" s="134"/>
      <c r="C65" s="3"/>
      <c r="D65" s="3"/>
      <c r="E65" s="3"/>
      <c r="F65" s="119"/>
      <c r="G65" s="119"/>
      <c r="H65" s="119"/>
      <c r="I65" s="126"/>
      <c r="J65" s="375"/>
      <c r="K65" s="375"/>
      <c r="L65" s="3"/>
      <c r="M65" s="376"/>
      <c r="N65" s="3"/>
      <c r="O65" s="3"/>
      <c r="P65" s="3"/>
      <c r="Q65" s="119"/>
      <c r="R65" s="3"/>
      <c r="S65" s="3"/>
      <c r="T65" s="3"/>
      <c r="U65" s="698" t="s">
        <v>136</v>
      </c>
      <c r="V65" s="698"/>
      <c r="W65" s="698"/>
      <c r="X65" s="698"/>
      <c r="Y65" s="380">
        <v>1973.2</v>
      </c>
      <c r="Z65" s="3"/>
      <c r="AA65" s="381" t="s">
        <v>137</v>
      </c>
      <c r="AB65" s="382">
        <v>114</v>
      </c>
      <c r="AC65" s="3"/>
      <c r="AD65" s="4"/>
    </row>
    <row r="66" spans="1:30" x14ac:dyDescent="0.25">
      <c r="A66" s="1"/>
      <c r="B66" s="134"/>
      <c r="C66" s="3"/>
      <c r="D66" s="3"/>
      <c r="E66" s="3"/>
      <c r="F66" s="119"/>
      <c r="G66" s="119"/>
      <c r="H66" s="119"/>
      <c r="I66" s="126"/>
      <c r="J66" s="375"/>
      <c r="K66" s="375"/>
      <c r="L66" s="3"/>
      <c r="M66" s="376"/>
      <c r="N66" s="3"/>
      <c r="O66" s="3"/>
      <c r="P66" s="3"/>
      <c r="Q66" s="119"/>
      <c r="R66" s="3"/>
      <c r="S66" s="3"/>
      <c r="T66" s="3"/>
      <c r="U66" s="698" t="s">
        <v>230</v>
      </c>
      <c r="V66" s="698"/>
      <c r="W66" s="698"/>
      <c r="X66" s="698"/>
      <c r="Y66" s="380">
        <v>0</v>
      </c>
      <c r="Z66" s="3"/>
      <c r="AA66" s="381" t="s">
        <v>139</v>
      </c>
      <c r="AB66" s="382">
        <v>562.5</v>
      </c>
      <c r="AC66" s="3"/>
      <c r="AD66" s="4"/>
    </row>
    <row r="67" spans="1:30" x14ac:dyDescent="0.25">
      <c r="A67" s="3"/>
      <c r="B67" s="3"/>
      <c r="C67" s="3"/>
      <c r="D67" s="3"/>
      <c r="E67" s="3"/>
      <c r="F67" s="120"/>
      <c r="G67" s="3"/>
      <c r="H67" s="3"/>
      <c r="I67" s="3"/>
      <c r="J67" s="120"/>
      <c r="K67" s="120"/>
      <c r="L67" s="3"/>
      <c r="M67" s="376"/>
      <c r="N67" s="3"/>
      <c r="O67" s="3"/>
      <c r="P67" s="3"/>
      <c r="Q67" s="3"/>
      <c r="R67" s="3"/>
      <c r="S67" s="3"/>
      <c r="T67" s="3"/>
      <c r="U67" s="698" t="s">
        <v>140</v>
      </c>
      <c r="V67" s="698"/>
      <c r="W67" s="698"/>
      <c r="X67" s="698"/>
      <c r="Y67" s="380">
        <v>51.9</v>
      </c>
      <c r="Z67" s="3"/>
      <c r="AA67" s="3"/>
      <c r="AB67" s="3"/>
      <c r="AC67" s="3"/>
      <c r="AD67" s="4"/>
    </row>
    <row r="68" spans="1:30" x14ac:dyDescent="0.25">
      <c r="A68" s="1"/>
      <c r="B68" s="134"/>
      <c r="C68" s="3"/>
      <c r="D68" s="3"/>
      <c r="E68" s="3"/>
      <c r="F68" s="119"/>
      <c r="G68" s="119"/>
      <c r="H68" s="119"/>
      <c r="I68" s="126"/>
      <c r="J68" s="136"/>
      <c r="K68" s="136"/>
      <c r="L68" s="3"/>
      <c r="M68" s="376"/>
      <c r="N68" s="3"/>
      <c r="O68" s="3"/>
      <c r="P68" s="3"/>
      <c r="Q68" s="119"/>
      <c r="R68" s="3"/>
      <c r="S68" s="3"/>
      <c r="T68" s="3"/>
      <c r="U68" s="698" t="s">
        <v>141</v>
      </c>
      <c r="V68" s="698"/>
      <c r="W68" s="698"/>
      <c r="X68" s="698"/>
      <c r="Y68" s="477">
        <f>SUM(Y69:Y72)</f>
        <v>734.9</v>
      </c>
      <c r="Z68" s="3"/>
      <c r="AA68" s="3"/>
      <c r="AB68" s="3"/>
      <c r="AC68" s="3"/>
      <c r="AD68" s="4"/>
    </row>
    <row r="69" spans="1:30" x14ac:dyDescent="0.25">
      <c r="A69" s="1"/>
      <c r="B69" s="134"/>
      <c r="C69" s="3"/>
      <c r="D69" s="3"/>
      <c r="E69" s="3"/>
      <c r="F69" s="119"/>
      <c r="G69" s="119"/>
      <c r="H69" s="119"/>
      <c r="I69" s="126"/>
      <c r="J69" s="375"/>
      <c r="K69" s="375"/>
      <c r="L69" s="3"/>
      <c r="M69" s="376"/>
      <c r="N69" s="3"/>
      <c r="O69" s="3"/>
      <c r="P69" s="3"/>
      <c r="Q69" s="119"/>
      <c r="R69" s="3"/>
      <c r="S69" s="3"/>
      <c r="T69" s="3"/>
      <c r="U69" s="697" t="s">
        <v>142</v>
      </c>
      <c r="V69" s="697"/>
      <c r="W69" s="697"/>
      <c r="X69" s="697"/>
      <c r="Y69" s="380">
        <v>300</v>
      </c>
      <c r="Z69" s="3"/>
      <c r="AA69" s="3"/>
      <c r="AB69" s="3"/>
      <c r="AC69" s="3"/>
      <c r="AD69" s="4"/>
    </row>
    <row r="70" spans="1:30" x14ac:dyDescent="0.25">
      <c r="A70" s="1"/>
      <c r="B70" s="134"/>
      <c r="C70" s="3"/>
      <c r="D70" s="3"/>
      <c r="E70" s="3"/>
      <c r="F70" s="119"/>
      <c r="G70" s="119"/>
      <c r="H70" s="119"/>
      <c r="I70" s="126"/>
      <c r="J70" s="375"/>
      <c r="K70" s="375"/>
      <c r="L70" s="3"/>
      <c r="M70" s="376"/>
      <c r="N70" s="3"/>
      <c r="O70" s="3"/>
      <c r="P70" s="3"/>
      <c r="Q70" s="119"/>
      <c r="R70" s="3"/>
      <c r="S70" s="3"/>
      <c r="T70" s="3"/>
      <c r="U70" s="697" t="s">
        <v>143</v>
      </c>
      <c r="V70" s="697"/>
      <c r="W70" s="697"/>
      <c r="X70" s="697"/>
      <c r="Y70" s="380">
        <v>120</v>
      </c>
      <c r="Z70" s="3"/>
      <c r="AA70" s="3"/>
      <c r="AB70" s="3"/>
      <c r="AC70" s="3"/>
      <c r="AD70" s="4"/>
    </row>
    <row r="71" spans="1:30" x14ac:dyDescent="0.25">
      <c r="A71" s="1"/>
      <c r="B71" s="134"/>
      <c r="C71" s="3"/>
      <c r="D71" s="3"/>
      <c r="E71" s="3"/>
      <c r="F71" s="119"/>
      <c r="G71" s="119"/>
      <c r="H71" s="119"/>
      <c r="I71" s="126"/>
      <c r="J71" s="375"/>
      <c r="K71" s="375"/>
      <c r="L71" s="3"/>
      <c r="M71" s="376"/>
      <c r="N71" s="3"/>
      <c r="O71" s="3"/>
      <c r="P71" s="3"/>
      <c r="Q71" s="119"/>
      <c r="R71" s="3"/>
      <c r="S71" s="3"/>
      <c r="T71" s="3"/>
      <c r="U71" s="697" t="s">
        <v>144</v>
      </c>
      <c r="V71" s="697"/>
      <c r="W71" s="697"/>
      <c r="X71" s="697"/>
      <c r="Y71" s="380">
        <v>100</v>
      </c>
      <c r="Z71" s="3"/>
      <c r="AA71" s="3"/>
      <c r="AB71" s="3"/>
      <c r="AC71" s="3"/>
      <c r="AD71" s="4"/>
    </row>
    <row r="72" spans="1:30" x14ac:dyDescent="0.25">
      <c r="A72" s="1"/>
      <c r="B72" s="134"/>
      <c r="C72" s="3"/>
      <c r="D72" s="3"/>
      <c r="E72" s="3"/>
      <c r="F72" s="119"/>
      <c r="G72" s="119"/>
      <c r="H72" s="119"/>
      <c r="I72" s="126"/>
      <c r="J72" s="375"/>
      <c r="K72" s="375"/>
      <c r="L72" s="3"/>
      <c r="M72" s="376"/>
      <c r="N72" s="3"/>
      <c r="O72" s="3"/>
      <c r="P72" s="3"/>
      <c r="Q72" s="119"/>
      <c r="R72" s="3"/>
      <c r="S72" s="3"/>
      <c r="T72" s="3"/>
      <c r="U72" s="697" t="s">
        <v>145</v>
      </c>
      <c r="V72" s="697"/>
      <c r="W72" s="697"/>
      <c r="X72" s="697"/>
      <c r="Y72" s="380">
        <v>214.9</v>
      </c>
      <c r="Z72" s="3"/>
      <c r="AA72" s="3"/>
      <c r="AB72" s="3"/>
      <c r="AC72" s="3"/>
      <c r="AD72" s="4"/>
    </row>
    <row r="73" spans="1:30" x14ac:dyDescent="0.25">
      <c r="A73" s="1"/>
      <c r="B73" s="134"/>
      <c r="C73" s="383"/>
      <c r="D73" s="119"/>
      <c r="E73" s="119"/>
      <c r="F73" s="119"/>
      <c r="G73" s="119"/>
      <c r="H73" s="119"/>
      <c r="I73" s="126"/>
      <c r="J73" s="119"/>
      <c r="K73" s="119"/>
      <c r="L73" s="3"/>
      <c r="M73" s="376"/>
      <c r="N73" s="3"/>
      <c r="O73" s="3"/>
      <c r="P73" s="3"/>
      <c r="Q73" s="384"/>
      <c r="R73" s="3"/>
      <c r="S73" s="3"/>
      <c r="T73" s="3"/>
      <c r="U73" s="126"/>
      <c r="V73" s="126"/>
      <c r="W73" s="126"/>
      <c r="X73" s="119"/>
      <c r="Y73" s="119">
        <f>SUM(Y64:Y68)</f>
        <v>7959.4999999999991</v>
      </c>
      <c r="Z73" s="3"/>
      <c r="AA73" s="3"/>
      <c r="AB73" s="3"/>
      <c r="AC73" s="3"/>
      <c r="AD73" s="4"/>
    </row>
    <row r="74" spans="1:30" x14ac:dyDescent="0.25">
      <c r="A74" s="1"/>
      <c r="B74" s="134"/>
      <c r="C74" s="117"/>
      <c r="D74" s="119"/>
      <c r="E74" s="119"/>
      <c r="F74" s="119"/>
      <c r="G74" s="119"/>
      <c r="H74" s="119"/>
      <c r="I74" s="126"/>
      <c r="J74" s="119"/>
      <c r="K74" s="119"/>
      <c r="L74" s="119"/>
      <c r="M74" s="119"/>
      <c r="N74" s="119"/>
      <c r="O74" s="126"/>
      <c r="P74" s="119"/>
      <c r="Q74" s="119"/>
      <c r="R74" s="119"/>
      <c r="S74" s="126"/>
      <c r="T74" s="126"/>
      <c r="U74" s="126"/>
      <c r="V74" s="119"/>
      <c r="W74" s="119"/>
      <c r="X74" s="119"/>
      <c r="Y74" s="3"/>
      <c r="Z74" s="3"/>
      <c r="AA74" s="3"/>
      <c r="AB74" s="3"/>
      <c r="AC74" s="3"/>
      <c r="AD74" s="3"/>
    </row>
    <row r="75" spans="1:30" x14ac:dyDescent="0.25">
      <c r="A75" s="1"/>
      <c r="B75" s="144" t="s">
        <v>103</v>
      </c>
      <c r="C75" s="145"/>
      <c r="D75" s="585"/>
      <c r="E75" s="585"/>
      <c r="F75" s="585"/>
      <c r="G75" s="585"/>
      <c r="H75" s="585"/>
      <c r="I75" s="585"/>
      <c r="J75" s="585"/>
      <c r="K75" s="585"/>
      <c r="L75" s="585"/>
      <c r="M75" s="585"/>
      <c r="N75" s="585"/>
      <c r="O75" s="585"/>
      <c r="P75" s="585"/>
      <c r="Q75" s="585"/>
      <c r="R75" s="585"/>
      <c r="S75" s="585"/>
      <c r="T75" s="585"/>
      <c r="U75" s="585"/>
      <c r="V75" s="146"/>
      <c r="W75" s="146"/>
      <c r="X75" s="146"/>
      <c r="Y75" s="146"/>
      <c r="Z75" s="146"/>
      <c r="AA75" s="146"/>
      <c r="AB75" s="147"/>
      <c r="AC75" s="3"/>
      <c r="AD75" s="3"/>
    </row>
    <row r="76" spans="1:30" x14ac:dyDescent="0.25">
      <c r="A76" s="1"/>
      <c r="B76" s="148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49"/>
      <c r="AC76" s="3"/>
      <c r="AD76" s="3"/>
    </row>
    <row r="77" spans="1:30" x14ac:dyDescent="0.25">
      <c r="A77" s="1"/>
      <c r="B77" s="575" t="s">
        <v>265</v>
      </c>
      <c r="C77" s="576"/>
      <c r="D77" s="576"/>
      <c r="E77" s="576"/>
      <c r="F77" s="576"/>
      <c r="G77" s="576"/>
      <c r="H77" s="576"/>
      <c r="I77" s="576"/>
      <c r="J77" s="576"/>
      <c r="K77" s="576"/>
      <c r="L77" s="576"/>
      <c r="M77" s="576"/>
      <c r="N77" s="576"/>
      <c r="O77" s="576"/>
      <c r="P77" s="576"/>
      <c r="Q77" s="576"/>
      <c r="R77" s="576"/>
      <c r="S77" s="576"/>
      <c r="T77" s="576"/>
      <c r="U77" s="576"/>
      <c r="V77" s="121"/>
      <c r="W77" s="121"/>
      <c r="X77" s="121"/>
      <c r="Y77" s="121"/>
      <c r="Z77" s="121"/>
      <c r="AA77" s="121"/>
      <c r="AB77" s="149"/>
      <c r="AC77" s="3"/>
      <c r="AD77" s="3"/>
    </row>
    <row r="78" spans="1:30" x14ac:dyDescent="0.25">
      <c r="A78" s="1"/>
      <c r="B78" s="575"/>
      <c r="C78" s="576"/>
      <c r="D78" s="576"/>
      <c r="E78" s="576"/>
      <c r="F78" s="576"/>
      <c r="G78" s="576"/>
      <c r="H78" s="576"/>
      <c r="I78" s="576"/>
      <c r="J78" s="576"/>
      <c r="K78" s="576"/>
      <c r="L78" s="576"/>
      <c r="M78" s="576"/>
      <c r="N78" s="576"/>
      <c r="O78" s="576"/>
      <c r="P78" s="576"/>
      <c r="Q78" s="576"/>
      <c r="R78" s="576"/>
      <c r="S78" s="576"/>
      <c r="T78" s="576"/>
      <c r="U78" s="576"/>
      <c r="V78" s="121"/>
      <c r="W78" s="121"/>
      <c r="X78" s="121"/>
      <c r="Y78" s="121"/>
      <c r="Z78" s="121"/>
      <c r="AA78" s="121"/>
      <c r="AB78" s="149"/>
      <c r="AC78" s="3"/>
      <c r="AD78" s="3"/>
    </row>
    <row r="79" spans="1:30" x14ac:dyDescent="0.25">
      <c r="A79" s="1"/>
      <c r="B79" s="575" t="s">
        <v>266</v>
      </c>
      <c r="C79" s="576"/>
      <c r="D79" s="576"/>
      <c r="E79" s="576"/>
      <c r="F79" s="576"/>
      <c r="G79" s="576"/>
      <c r="H79" s="576"/>
      <c r="I79" s="576"/>
      <c r="J79" s="576"/>
      <c r="K79" s="576"/>
      <c r="L79" s="576"/>
      <c r="M79" s="576"/>
      <c r="N79" s="576"/>
      <c r="O79" s="576"/>
      <c r="P79" s="576"/>
      <c r="Q79" s="576"/>
      <c r="R79" s="576"/>
      <c r="S79" s="576"/>
      <c r="T79" s="576"/>
      <c r="U79" s="576"/>
      <c r="V79" s="121"/>
      <c r="W79" s="121"/>
      <c r="X79" s="121"/>
      <c r="Y79" s="121"/>
      <c r="Z79" s="121"/>
      <c r="AA79" s="121"/>
      <c r="AB79" s="149"/>
      <c r="AC79" s="3"/>
      <c r="AD79" s="3"/>
    </row>
    <row r="80" spans="1:30" x14ac:dyDescent="0.25">
      <c r="A80" s="1"/>
      <c r="B80" s="150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21"/>
      <c r="W80" s="121"/>
      <c r="X80" s="121"/>
      <c r="Y80" s="121"/>
      <c r="Z80" s="121"/>
      <c r="AA80" s="121"/>
      <c r="AB80" s="149"/>
      <c r="AC80" s="3"/>
      <c r="AD80" s="3"/>
    </row>
    <row r="81" spans="1:30" x14ac:dyDescent="0.25">
      <c r="A81" s="1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21"/>
      <c r="W81" s="121"/>
      <c r="X81" s="121"/>
      <c r="Y81" s="121"/>
      <c r="Z81" s="121"/>
      <c r="AA81" s="121"/>
      <c r="AB81" s="149"/>
      <c r="AC81" s="3"/>
      <c r="AD81" s="3"/>
    </row>
    <row r="82" spans="1:30" x14ac:dyDescent="0.25">
      <c r="A82" s="1"/>
      <c r="B82" s="150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21"/>
      <c r="W82" s="121"/>
      <c r="X82" s="121"/>
      <c r="Y82" s="121"/>
      <c r="Z82" s="121"/>
      <c r="AA82" s="121"/>
      <c r="AB82" s="149"/>
      <c r="AC82" s="3"/>
      <c r="AD82" s="3"/>
    </row>
    <row r="83" spans="1:30" x14ac:dyDescent="0.25">
      <c r="A83" s="1"/>
      <c r="B83" s="150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21"/>
      <c r="W83" s="121"/>
      <c r="X83" s="121"/>
      <c r="Y83" s="121"/>
      <c r="Z83" s="121"/>
      <c r="AA83" s="121"/>
      <c r="AB83" s="149"/>
      <c r="AC83" s="3"/>
      <c r="AD83" s="3"/>
    </row>
    <row r="84" spans="1:30" x14ac:dyDescent="0.25">
      <c r="A84" s="1"/>
      <c r="B84" s="158"/>
      <c r="C84" s="159"/>
      <c r="D84" s="160"/>
      <c r="E84" s="160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2"/>
      <c r="W84" s="162"/>
      <c r="X84" s="162"/>
      <c r="Y84" s="162"/>
      <c r="Z84" s="162"/>
      <c r="AA84" s="162"/>
      <c r="AB84" s="163"/>
      <c r="AC84" s="3"/>
      <c r="AD84" s="3"/>
    </row>
    <row r="85" spans="1:30" x14ac:dyDescent="0.25">
      <c r="A85" s="115"/>
      <c r="B85" s="164"/>
      <c r="C85" s="165"/>
      <c r="D85" s="164"/>
      <c r="E85" s="164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3"/>
      <c r="W85" s="3"/>
      <c r="X85" s="3"/>
      <c r="Y85" s="3"/>
      <c r="Z85" s="3"/>
      <c r="AA85" s="3"/>
      <c r="AB85" s="3"/>
      <c r="AC85" s="3"/>
      <c r="AD85" s="3"/>
    </row>
    <row r="86" spans="1:30" x14ac:dyDescent="0.25">
      <c r="A86" s="115"/>
      <c r="B86" s="164"/>
      <c r="C86" s="165"/>
      <c r="D86" s="164"/>
      <c r="E86" s="164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3"/>
      <c r="W86" s="3"/>
      <c r="X86" s="3"/>
      <c r="Y86" s="3"/>
      <c r="Z86" s="3"/>
      <c r="AA86" s="3"/>
      <c r="AB86" s="3"/>
      <c r="AC86" s="3"/>
      <c r="AD86" s="3"/>
    </row>
    <row r="87" spans="1:30" x14ac:dyDescent="0.25">
      <c r="A87" s="1"/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3"/>
      <c r="W87" s="3"/>
      <c r="X87" s="3"/>
      <c r="Y87" s="3"/>
      <c r="Z87" s="3"/>
      <c r="AA87" s="3"/>
      <c r="AB87" s="3"/>
      <c r="AC87" s="3"/>
      <c r="AD87" s="3"/>
    </row>
    <row r="88" spans="1:30" x14ac:dyDescent="0.25">
      <c r="A88" s="1"/>
      <c r="B88" s="167" t="s">
        <v>104</v>
      </c>
      <c r="C88" s="168">
        <v>45918</v>
      </c>
      <c r="D88" s="167" t="s">
        <v>105</v>
      </c>
      <c r="E88" s="576" t="s">
        <v>267</v>
      </c>
      <c r="F88" s="576"/>
      <c r="G88" s="576"/>
      <c r="H88" s="167"/>
      <c r="I88" s="167" t="s">
        <v>107</v>
      </c>
      <c r="J88" s="577" t="s">
        <v>268</v>
      </c>
      <c r="K88" s="577"/>
      <c r="L88" s="577"/>
      <c r="M88" s="577"/>
      <c r="N88" s="167"/>
      <c r="O88" s="167"/>
      <c r="P88" s="167"/>
      <c r="Q88" s="167"/>
      <c r="R88" s="167"/>
      <c r="S88" s="167"/>
      <c r="T88" s="167"/>
      <c r="U88" s="167"/>
      <c r="V88" s="3"/>
      <c r="W88" s="3"/>
      <c r="X88" s="3"/>
      <c r="Y88" s="3"/>
      <c r="Z88" s="3"/>
      <c r="AA88" s="3"/>
      <c r="AB88" s="3"/>
      <c r="AC88" s="3"/>
      <c r="AD88" s="3"/>
    </row>
    <row r="89" spans="1:30" ht="7.5" customHeight="1" x14ac:dyDescent="0.25">
      <c r="A89" s="1"/>
      <c r="B89" s="167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167"/>
      <c r="C90" s="167"/>
      <c r="D90" s="167" t="s">
        <v>109</v>
      </c>
      <c r="E90" s="169"/>
      <c r="F90" s="169"/>
      <c r="G90" s="169"/>
      <c r="H90" s="167"/>
      <c r="I90" s="167" t="s">
        <v>109</v>
      </c>
      <c r="J90" s="170"/>
      <c r="K90" s="170"/>
      <c r="L90" s="170"/>
      <c r="M90" s="170"/>
      <c r="N90" s="167"/>
      <c r="O90" s="167"/>
      <c r="P90" s="167"/>
      <c r="Q90" s="167"/>
      <c r="R90" s="167"/>
      <c r="S90" s="167"/>
      <c r="T90" s="167"/>
      <c r="U90" s="167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167"/>
      <c r="C91" s="167"/>
      <c r="D91" s="167"/>
      <c r="E91" s="169"/>
      <c r="F91" s="169"/>
      <c r="G91" s="169"/>
      <c r="H91" s="167"/>
      <c r="I91" s="167"/>
      <c r="J91" s="170"/>
      <c r="K91" s="170"/>
      <c r="L91" s="170"/>
      <c r="M91" s="170"/>
      <c r="N91" s="167"/>
      <c r="O91" s="167"/>
      <c r="P91" s="167"/>
      <c r="Q91" s="167"/>
      <c r="R91" s="167"/>
      <c r="S91" s="167"/>
      <c r="T91" s="167"/>
      <c r="U91" s="167"/>
      <c r="V91" s="3"/>
      <c r="W91" s="3"/>
      <c r="X91" s="3"/>
      <c r="Y91" s="3"/>
      <c r="Z91" s="3"/>
      <c r="AA91" s="3"/>
      <c r="AB91" s="3"/>
      <c r="AC91" s="3"/>
      <c r="AD91" s="3"/>
    </row>
    <row r="92" spans="1:30" x14ac:dyDescent="0.25">
      <c r="A92" s="1"/>
      <c r="B92" s="167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167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3"/>
      <c r="W93" s="3"/>
      <c r="X93" s="3"/>
      <c r="Y93" s="3"/>
      <c r="Z93" s="3"/>
      <c r="AA93" s="3"/>
      <c r="AB93" s="3"/>
      <c r="AC93" s="3"/>
      <c r="AD93" s="3"/>
    </row>
    <row r="94" spans="1:30" hidden="1" x14ac:dyDescent="0.25">
      <c r="AC94" s="4"/>
      <c r="AD94" s="4"/>
    </row>
    <row r="95" spans="1:30" hidden="1" x14ac:dyDescent="0.25"/>
    <row r="96" spans="1:30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t="15" hidden="1" customHeight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t="15" hidden="1" customHeight="1" x14ac:dyDescent="0.25"/>
    <row r="125" ht="15" hidden="1" customHeight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</sheetData>
  <mergeCells count="79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6:AB28"/>
    <mergeCell ref="J27:L27"/>
    <mergeCell ref="M27:M28"/>
    <mergeCell ref="N27:N28"/>
    <mergeCell ref="O27:O28"/>
    <mergeCell ref="AA13:AA14"/>
    <mergeCell ref="D26:I26"/>
    <mergeCell ref="J26:O26"/>
    <mergeCell ref="P26:U26"/>
    <mergeCell ref="V26:AA26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27:B28"/>
    <mergeCell ref="C27:C28"/>
    <mergeCell ref="D27:F27"/>
    <mergeCell ref="G27:G28"/>
    <mergeCell ref="H27:H28"/>
    <mergeCell ref="U65:X65"/>
    <mergeCell ref="Z27:Z28"/>
    <mergeCell ref="AA27:AA28"/>
    <mergeCell ref="C44:C45"/>
    <mergeCell ref="C47:C48"/>
    <mergeCell ref="V57:X57"/>
    <mergeCell ref="V58:X58"/>
    <mergeCell ref="P27:R27"/>
    <mergeCell ref="S27:S28"/>
    <mergeCell ref="T27:T28"/>
    <mergeCell ref="U27:U28"/>
    <mergeCell ref="V27:X27"/>
    <mergeCell ref="Y27:Y28"/>
    <mergeCell ref="I27:I28"/>
    <mergeCell ref="V59:X59"/>
    <mergeCell ref="D61:E61"/>
    <mergeCell ref="V61:X61"/>
    <mergeCell ref="U63:X63"/>
    <mergeCell ref="U64:X64"/>
    <mergeCell ref="E88:G88"/>
    <mergeCell ref="J88:M88"/>
    <mergeCell ref="U66:X66"/>
    <mergeCell ref="U67:X67"/>
    <mergeCell ref="U68:X68"/>
    <mergeCell ref="U69:X69"/>
    <mergeCell ref="U70:X70"/>
    <mergeCell ref="U71:X71"/>
    <mergeCell ref="U72:X72"/>
    <mergeCell ref="D75:U75"/>
    <mergeCell ref="B77:U77"/>
    <mergeCell ref="B78:U78"/>
    <mergeCell ref="B79:U79"/>
  </mergeCells>
  <conditionalFormatting sqref="AB15:AB26 AB29:AB42">
    <cfRule type="cellIs" dxfId="15" priority="1" operator="equal">
      <formula>0</formula>
    </cfRule>
    <cfRule type="containsErrors" dxfId="14" priority="2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>
    <tabColor rgb="FFFF0000"/>
    <pageSetUpPr fitToPage="1"/>
  </sheetPr>
  <dimension ref="A1:AD135"/>
  <sheetViews>
    <sheetView showGridLines="0" zoomScale="64" zoomScaleNormal="64" zoomScaleSheetLayoutView="80" workbookViewId="0">
      <selection activeCell="Y61" sqref="Y6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3.140625" bestFit="1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327" bestFit="1" customWidth="1"/>
    <col min="14" max="14" width="13.28515625" customWidth="1"/>
    <col min="15" max="15" width="13.140625" bestFit="1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1.7109375" bestFit="1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 t="s">
        <v>269</v>
      </c>
      <c r="AC1" s="3"/>
    </row>
    <row r="2" spans="1:30" ht="21" x14ac:dyDescent="0.35">
      <c r="A2" s="3"/>
      <c r="B2" s="17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7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7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1</v>
      </c>
      <c r="C4" s="3"/>
      <c r="D4" s="690" t="s">
        <v>270</v>
      </c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7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3</v>
      </c>
      <c r="C6" s="3"/>
      <c r="D6" s="174">
        <v>46789766</v>
      </c>
      <c r="E6" s="3"/>
      <c r="F6" s="3"/>
      <c r="G6" s="3"/>
      <c r="H6" s="3"/>
      <c r="I6" s="3"/>
      <c r="J6" s="3"/>
      <c r="K6" s="3"/>
      <c r="L6" s="3"/>
      <c r="M6" s="17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175"/>
      <c r="E7" s="3"/>
      <c r="F7" s="3"/>
      <c r="G7" s="3"/>
      <c r="H7" s="3"/>
      <c r="I7" s="3"/>
      <c r="J7" s="3"/>
      <c r="K7" s="3"/>
      <c r="L7" s="3"/>
      <c r="M7" s="17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5</v>
      </c>
      <c r="C8" s="3"/>
      <c r="D8" s="691" t="s">
        <v>271</v>
      </c>
      <c r="E8" s="691"/>
      <c r="F8" s="691"/>
      <c r="G8" s="691"/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691"/>
      <c r="T8" s="691"/>
      <c r="U8" s="691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7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692" t="s">
        <v>7</v>
      </c>
      <c r="C10" s="651" t="s">
        <v>8</v>
      </c>
      <c r="D10" s="678" t="s">
        <v>9</v>
      </c>
      <c r="E10" s="679"/>
      <c r="F10" s="679"/>
      <c r="G10" s="679"/>
      <c r="H10" s="679"/>
      <c r="I10" s="680"/>
      <c r="J10" s="764" t="s">
        <v>166</v>
      </c>
      <c r="K10" s="765"/>
      <c r="L10" s="765"/>
      <c r="M10" s="765"/>
      <c r="N10" s="765"/>
      <c r="O10" s="766"/>
      <c r="P10" s="764" t="s">
        <v>11</v>
      </c>
      <c r="Q10" s="765"/>
      <c r="R10" s="765"/>
      <c r="S10" s="765"/>
      <c r="T10" s="765"/>
      <c r="U10" s="766"/>
      <c r="V10" s="678" t="s">
        <v>272</v>
      </c>
      <c r="W10" s="679"/>
      <c r="X10" s="679"/>
      <c r="Y10" s="679"/>
      <c r="Z10" s="679"/>
      <c r="AA10" s="680"/>
      <c r="AB10" s="681" t="s">
        <v>13</v>
      </c>
      <c r="AC10" s="3"/>
      <c r="AD10" s="3"/>
    </row>
    <row r="11" spans="1:30" ht="30.75" customHeight="1" thickBot="1" x14ac:dyDescent="0.3">
      <c r="A11" s="3"/>
      <c r="B11" s="693"/>
      <c r="C11" s="652"/>
      <c r="D11" s="684" t="s">
        <v>14</v>
      </c>
      <c r="E11" s="685"/>
      <c r="F11" s="685"/>
      <c r="G11" s="686"/>
      <c r="H11" s="176" t="s">
        <v>15</v>
      </c>
      <c r="I11" s="176" t="s">
        <v>16</v>
      </c>
      <c r="J11" s="684" t="s">
        <v>14</v>
      </c>
      <c r="K11" s="685"/>
      <c r="L11" s="685"/>
      <c r="M11" s="686"/>
      <c r="N11" s="176" t="s">
        <v>15</v>
      </c>
      <c r="O11" s="176" t="s">
        <v>16</v>
      </c>
      <c r="P11" s="684" t="s">
        <v>14</v>
      </c>
      <c r="Q11" s="685"/>
      <c r="R11" s="685"/>
      <c r="S11" s="686"/>
      <c r="T11" s="176" t="s">
        <v>15</v>
      </c>
      <c r="U11" s="176" t="s">
        <v>16</v>
      </c>
      <c r="V11" s="684" t="s">
        <v>14</v>
      </c>
      <c r="W11" s="685"/>
      <c r="X11" s="685"/>
      <c r="Y11" s="686"/>
      <c r="Z11" s="176" t="s">
        <v>15</v>
      </c>
      <c r="AA11" s="176" t="s">
        <v>16</v>
      </c>
      <c r="AB11" s="682"/>
      <c r="AC11" s="3"/>
      <c r="AD11" s="3"/>
    </row>
    <row r="12" spans="1:30" ht="15.75" customHeight="1" thickBot="1" x14ac:dyDescent="0.3">
      <c r="A12" s="3"/>
      <c r="B12" s="693"/>
      <c r="C12" s="695"/>
      <c r="D12" s="687" t="s">
        <v>17</v>
      </c>
      <c r="E12" s="688"/>
      <c r="F12" s="688"/>
      <c r="G12" s="688"/>
      <c r="H12" s="688"/>
      <c r="I12" s="689"/>
      <c r="J12" s="687" t="s">
        <v>17</v>
      </c>
      <c r="K12" s="688"/>
      <c r="L12" s="688"/>
      <c r="M12" s="688"/>
      <c r="N12" s="688"/>
      <c r="O12" s="689"/>
      <c r="P12" s="687" t="s">
        <v>17</v>
      </c>
      <c r="Q12" s="688"/>
      <c r="R12" s="688"/>
      <c r="S12" s="688"/>
      <c r="T12" s="688"/>
      <c r="U12" s="689"/>
      <c r="V12" s="687" t="s">
        <v>17</v>
      </c>
      <c r="W12" s="688"/>
      <c r="X12" s="688"/>
      <c r="Y12" s="688"/>
      <c r="Z12" s="688"/>
      <c r="AA12" s="689"/>
      <c r="AB12" s="682"/>
      <c r="AC12" s="3"/>
      <c r="AD12" s="3"/>
    </row>
    <row r="13" spans="1:30" ht="15.75" customHeight="1" thickBot="1" x14ac:dyDescent="0.3">
      <c r="A13" s="3"/>
      <c r="B13" s="694"/>
      <c r="C13" s="696"/>
      <c r="D13" s="676" t="s">
        <v>18</v>
      </c>
      <c r="E13" s="677"/>
      <c r="F13" s="677"/>
      <c r="G13" s="647" t="s">
        <v>19</v>
      </c>
      <c r="H13" s="674" t="s">
        <v>20</v>
      </c>
      <c r="I13" s="653" t="s">
        <v>17</v>
      </c>
      <c r="J13" s="676" t="s">
        <v>18</v>
      </c>
      <c r="K13" s="677"/>
      <c r="L13" s="677"/>
      <c r="M13" s="647" t="s">
        <v>19</v>
      </c>
      <c r="N13" s="674" t="s">
        <v>20</v>
      </c>
      <c r="O13" s="653" t="s">
        <v>17</v>
      </c>
      <c r="P13" s="676" t="s">
        <v>18</v>
      </c>
      <c r="Q13" s="677"/>
      <c r="R13" s="677"/>
      <c r="S13" s="647" t="s">
        <v>19</v>
      </c>
      <c r="T13" s="674" t="s">
        <v>20</v>
      </c>
      <c r="U13" s="653" t="s">
        <v>17</v>
      </c>
      <c r="V13" s="676" t="s">
        <v>18</v>
      </c>
      <c r="W13" s="677"/>
      <c r="X13" s="677"/>
      <c r="Y13" s="647" t="s">
        <v>19</v>
      </c>
      <c r="Z13" s="674" t="s">
        <v>20</v>
      </c>
      <c r="AA13" s="653" t="s">
        <v>17</v>
      </c>
      <c r="AB13" s="682"/>
      <c r="AC13" s="3"/>
      <c r="AD13" s="3"/>
    </row>
    <row r="14" spans="1:30" ht="15.75" thickBot="1" x14ac:dyDescent="0.3">
      <c r="A14" s="3"/>
      <c r="B14" s="177"/>
      <c r="C14" s="178"/>
      <c r="D14" s="179" t="s">
        <v>21</v>
      </c>
      <c r="E14" s="180" t="s">
        <v>22</v>
      </c>
      <c r="F14" s="180" t="s">
        <v>23</v>
      </c>
      <c r="G14" s="648"/>
      <c r="H14" s="675"/>
      <c r="I14" s="654"/>
      <c r="J14" s="179" t="s">
        <v>21</v>
      </c>
      <c r="K14" s="180" t="s">
        <v>22</v>
      </c>
      <c r="L14" s="180" t="s">
        <v>23</v>
      </c>
      <c r="M14" s="648"/>
      <c r="N14" s="675"/>
      <c r="O14" s="654"/>
      <c r="P14" s="179" t="s">
        <v>21</v>
      </c>
      <c r="Q14" s="180" t="s">
        <v>22</v>
      </c>
      <c r="R14" s="180" t="s">
        <v>23</v>
      </c>
      <c r="S14" s="648"/>
      <c r="T14" s="675"/>
      <c r="U14" s="654"/>
      <c r="V14" s="179" t="s">
        <v>21</v>
      </c>
      <c r="W14" s="180" t="s">
        <v>22</v>
      </c>
      <c r="X14" s="180" t="s">
        <v>23</v>
      </c>
      <c r="Y14" s="648"/>
      <c r="Z14" s="675"/>
      <c r="AA14" s="654"/>
      <c r="AB14" s="683"/>
      <c r="AC14" s="3"/>
      <c r="AD14" s="3"/>
    </row>
    <row r="15" spans="1:30" x14ac:dyDescent="0.25">
      <c r="A15" s="3"/>
      <c r="B15" s="181" t="s">
        <v>24</v>
      </c>
      <c r="C15" s="182" t="s">
        <v>25</v>
      </c>
      <c r="D15" s="183"/>
      <c r="E15" s="184"/>
      <c r="F15" s="485">
        <f>2137.4+12.5</f>
        <v>2149.9</v>
      </c>
      <c r="G15" s="486">
        <f>SUM(D15:F15)</f>
        <v>2149.9</v>
      </c>
      <c r="H15" s="487">
        <v>504.7</v>
      </c>
      <c r="I15" s="188">
        <f>G15+H15</f>
        <v>2654.6</v>
      </c>
      <c r="J15" s="385"/>
      <c r="K15" s="386"/>
      <c r="L15" s="387">
        <v>2496</v>
      </c>
      <c r="M15" s="388">
        <f t="shared" ref="M15:M24" si="0">SUM(J15:L15)</f>
        <v>2496</v>
      </c>
      <c r="N15" s="389">
        <v>450</v>
      </c>
      <c r="O15" s="189">
        <f>M15+N15</f>
        <v>2946</v>
      </c>
      <c r="P15" s="488"/>
      <c r="Q15" s="489"/>
      <c r="R15" s="485">
        <f>1143.7+14.8</f>
        <v>1158.5</v>
      </c>
      <c r="S15" s="486">
        <f>SUM(P15:R15)</f>
        <v>1158.5</v>
      </c>
      <c r="T15" s="487">
        <f>286.9</f>
        <v>286.89999999999998</v>
      </c>
      <c r="U15" s="490">
        <f>S15+T15</f>
        <v>1445.4</v>
      </c>
      <c r="V15" s="183"/>
      <c r="W15" s="184"/>
      <c r="X15" s="485">
        <v>2150</v>
      </c>
      <c r="Y15" s="186">
        <f>SUM(V15:X15)</f>
        <v>2150</v>
      </c>
      <c r="Z15" s="187">
        <v>445</v>
      </c>
      <c r="AA15" s="188">
        <f>Y15+Z15</f>
        <v>2595</v>
      </c>
      <c r="AB15" s="190">
        <f>(AA15/O15)</f>
        <v>0.88085539714867622</v>
      </c>
      <c r="AC15" s="3"/>
      <c r="AD15" s="3"/>
    </row>
    <row r="16" spans="1:30" x14ac:dyDescent="0.25">
      <c r="A16" s="3"/>
      <c r="B16" s="191" t="s">
        <v>26</v>
      </c>
      <c r="C16" s="192" t="s">
        <v>123</v>
      </c>
      <c r="D16" s="193">
        <v>6783.2</v>
      </c>
      <c r="E16" s="194"/>
      <c r="F16" s="491"/>
      <c r="G16" s="492">
        <f t="shared" ref="G16:G24" si="1">SUM(D16:F16)</f>
        <v>6783.2</v>
      </c>
      <c r="H16" s="493"/>
      <c r="I16" s="188">
        <f t="shared" ref="I16:I24" si="2">G16+H16</f>
        <v>6783.2</v>
      </c>
      <c r="J16" s="494">
        <v>7000</v>
      </c>
      <c r="K16" s="391"/>
      <c r="L16" s="391"/>
      <c r="M16" s="392">
        <f t="shared" si="0"/>
        <v>7000</v>
      </c>
      <c r="N16" s="393"/>
      <c r="O16" s="189">
        <f t="shared" ref="O16:O21" si="3">M16+N16</f>
        <v>7000</v>
      </c>
      <c r="P16" s="193">
        <v>3740</v>
      </c>
      <c r="Q16" s="495"/>
      <c r="R16" s="491"/>
      <c r="S16" s="492">
        <f t="shared" ref="S16:S24" si="4">SUM(P16:R16)</f>
        <v>3740</v>
      </c>
      <c r="T16" s="493"/>
      <c r="U16" s="490">
        <f t="shared" ref="U16:U21" si="5">S16+T16</f>
        <v>3740</v>
      </c>
      <c r="V16" s="193">
        <f>7094+40+100</f>
        <v>7234</v>
      </c>
      <c r="W16" s="194"/>
      <c r="X16" s="491"/>
      <c r="Y16" s="195">
        <f t="shared" ref="Y16:Y24" si="6">SUM(V16:X16)</f>
        <v>7234</v>
      </c>
      <c r="Z16" s="196"/>
      <c r="AA16" s="188">
        <f t="shared" ref="AA16:AA21" si="7">Y16+Z16</f>
        <v>7234</v>
      </c>
      <c r="AB16" s="190">
        <f t="shared" ref="AB16:AB25" si="8">(AA16/O16)</f>
        <v>1.0334285714285714</v>
      </c>
      <c r="AC16" s="3"/>
      <c r="AD16" s="3"/>
    </row>
    <row r="17" spans="1:30" x14ac:dyDescent="0.25">
      <c r="A17" s="3"/>
      <c r="B17" s="191" t="s">
        <v>28</v>
      </c>
      <c r="C17" s="197" t="s">
        <v>124</v>
      </c>
      <c r="D17" s="29">
        <f>177.1+217.8+42+44</f>
        <v>480.9</v>
      </c>
      <c r="E17" s="198"/>
      <c r="F17" s="491"/>
      <c r="G17" s="492">
        <f t="shared" si="1"/>
        <v>480.9</v>
      </c>
      <c r="H17" s="496"/>
      <c r="I17" s="188">
        <f t="shared" si="2"/>
        <v>480.9</v>
      </c>
      <c r="J17" s="497">
        <v>396.7</v>
      </c>
      <c r="K17" s="394"/>
      <c r="L17" s="394"/>
      <c r="M17" s="392">
        <f t="shared" si="0"/>
        <v>396.7</v>
      </c>
      <c r="N17" s="395"/>
      <c r="O17" s="189">
        <f t="shared" si="3"/>
        <v>396.7</v>
      </c>
      <c r="P17" s="29">
        <f>179.7+217</f>
        <v>396.7</v>
      </c>
      <c r="Q17" s="495"/>
      <c r="R17" s="491"/>
      <c r="S17" s="492">
        <f t="shared" si="4"/>
        <v>396.7</v>
      </c>
      <c r="T17" s="496"/>
      <c r="U17" s="490">
        <f t="shared" si="5"/>
        <v>396.7</v>
      </c>
      <c r="V17" s="498">
        <f>175.6+50</f>
        <v>225.6</v>
      </c>
      <c r="W17" s="491"/>
      <c r="X17" s="491"/>
      <c r="Y17" s="492">
        <f t="shared" si="6"/>
        <v>225.6</v>
      </c>
      <c r="Z17" s="496"/>
      <c r="AA17" s="490">
        <f t="shared" si="7"/>
        <v>225.6</v>
      </c>
      <c r="AB17" s="190">
        <f t="shared" si="8"/>
        <v>0.56869170657927903</v>
      </c>
      <c r="AC17" s="3"/>
      <c r="AD17" s="3"/>
    </row>
    <row r="18" spans="1:30" x14ac:dyDescent="0.25">
      <c r="A18" s="3"/>
      <c r="B18" s="191" t="s">
        <v>125</v>
      </c>
      <c r="C18" s="465" t="s">
        <v>126</v>
      </c>
      <c r="D18" s="29">
        <v>0</v>
      </c>
      <c r="E18" s="198"/>
      <c r="F18" s="491"/>
      <c r="G18" s="492">
        <f t="shared" si="1"/>
        <v>0</v>
      </c>
      <c r="H18" s="493"/>
      <c r="I18" s="188">
        <f t="shared" si="2"/>
        <v>0</v>
      </c>
      <c r="J18" s="497">
        <v>0</v>
      </c>
      <c r="K18" s="394"/>
      <c r="L18" s="394"/>
      <c r="M18" s="392">
        <f t="shared" si="0"/>
        <v>0</v>
      </c>
      <c r="N18" s="393"/>
      <c r="O18" s="189">
        <f t="shared" si="3"/>
        <v>0</v>
      </c>
      <c r="P18" s="29">
        <v>0</v>
      </c>
      <c r="Q18" s="495"/>
      <c r="R18" s="491"/>
      <c r="S18" s="492">
        <f t="shared" si="4"/>
        <v>0</v>
      </c>
      <c r="T18" s="493"/>
      <c r="U18" s="490">
        <f t="shared" si="5"/>
        <v>0</v>
      </c>
      <c r="V18" s="499">
        <f>9246.4</f>
        <v>9246.4</v>
      </c>
      <c r="W18" s="491"/>
      <c r="X18" s="491"/>
      <c r="Y18" s="492">
        <f t="shared" si="6"/>
        <v>9246.4</v>
      </c>
      <c r="Z18" s="493"/>
      <c r="AA18" s="490">
        <f t="shared" si="7"/>
        <v>9246.4</v>
      </c>
      <c r="AB18" s="190"/>
      <c r="AC18" s="3"/>
      <c r="AD18" s="3"/>
    </row>
    <row r="19" spans="1:30" x14ac:dyDescent="0.25">
      <c r="A19" s="3"/>
      <c r="B19" s="191" t="s">
        <v>30</v>
      </c>
      <c r="C19" s="200" t="s">
        <v>31</v>
      </c>
      <c r="D19" s="201"/>
      <c r="E19" s="37">
        <f>44963.1+75.5+3757.3+766.8</f>
        <v>49562.700000000004</v>
      </c>
      <c r="F19" s="491"/>
      <c r="G19" s="492">
        <f t="shared" si="1"/>
        <v>49562.700000000004</v>
      </c>
      <c r="H19" s="487"/>
      <c r="I19" s="188">
        <f t="shared" si="2"/>
        <v>49562.700000000004</v>
      </c>
      <c r="J19" s="396"/>
      <c r="K19" s="397">
        <v>48932.6</v>
      </c>
      <c r="L19" s="394"/>
      <c r="M19" s="392">
        <f t="shared" si="0"/>
        <v>48932.6</v>
      </c>
      <c r="N19" s="389"/>
      <c r="O19" s="189">
        <f t="shared" si="3"/>
        <v>48932.6</v>
      </c>
      <c r="P19" s="500"/>
      <c r="Q19" s="37">
        <f>3460.1+22230+397.3+29.8</f>
        <v>26117.199999999997</v>
      </c>
      <c r="R19" s="491"/>
      <c r="S19" s="492">
        <f t="shared" si="4"/>
        <v>26117.199999999997</v>
      </c>
      <c r="T19" s="487"/>
      <c r="U19" s="490">
        <f t="shared" si="5"/>
        <v>26117.199999999997</v>
      </c>
      <c r="V19" s="501"/>
      <c r="W19" s="502">
        <f>40023.2+(1385.1)+666.9</f>
        <v>42075.199999999997</v>
      </c>
      <c r="X19" s="491"/>
      <c r="Y19" s="492">
        <f t="shared" si="6"/>
        <v>42075.199999999997</v>
      </c>
      <c r="Z19" s="487"/>
      <c r="AA19" s="490">
        <f t="shared" si="7"/>
        <v>42075.199999999997</v>
      </c>
      <c r="AB19" s="190">
        <f t="shared" si="8"/>
        <v>0.85986029763388816</v>
      </c>
      <c r="AC19" s="3"/>
      <c r="AD19" s="3"/>
    </row>
    <row r="20" spans="1:30" x14ac:dyDescent="0.25">
      <c r="A20" s="3"/>
      <c r="B20" s="191" t="s">
        <v>32</v>
      </c>
      <c r="C20" s="202" t="s">
        <v>33</v>
      </c>
      <c r="D20" s="203"/>
      <c r="E20" s="198"/>
      <c r="F20" s="502">
        <v>1001</v>
      </c>
      <c r="G20" s="492">
        <f>SUM(D20:F20)</f>
        <v>1001</v>
      </c>
      <c r="H20" s="487"/>
      <c r="I20" s="188">
        <f t="shared" si="2"/>
        <v>1001</v>
      </c>
      <c r="J20" s="398"/>
      <c r="K20" s="394"/>
      <c r="L20" s="397">
        <v>1030</v>
      </c>
      <c r="M20" s="392">
        <f t="shared" si="0"/>
        <v>1030</v>
      </c>
      <c r="N20" s="389"/>
      <c r="O20" s="189">
        <f t="shared" si="3"/>
        <v>1030</v>
      </c>
      <c r="P20" s="500"/>
      <c r="Q20" s="495"/>
      <c r="R20" s="502">
        <v>345.3</v>
      </c>
      <c r="S20" s="492">
        <f t="shared" si="4"/>
        <v>345.3</v>
      </c>
      <c r="T20" s="487"/>
      <c r="U20" s="490">
        <f t="shared" si="5"/>
        <v>345.3</v>
      </c>
      <c r="V20" s="501"/>
      <c r="W20" s="491"/>
      <c r="X20" s="502">
        <v>800</v>
      </c>
      <c r="Y20" s="492">
        <f t="shared" si="6"/>
        <v>800</v>
      </c>
      <c r="Z20" s="487"/>
      <c r="AA20" s="490">
        <f t="shared" si="7"/>
        <v>800</v>
      </c>
      <c r="AB20" s="190">
        <f t="shared" si="8"/>
        <v>0.77669902912621358</v>
      </c>
      <c r="AC20" s="3"/>
      <c r="AD20" s="3"/>
    </row>
    <row r="21" spans="1:30" x14ac:dyDescent="0.25">
      <c r="A21" s="3"/>
      <c r="B21" s="191" t="s">
        <v>34</v>
      </c>
      <c r="C21" s="204" t="s">
        <v>35</v>
      </c>
      <c r="D21" s="201"/>
      <c r="E21" s="194"/>
      <c r="F21" s="502">
        <v>232.6</v>
      </c>
      <c r="G21" s="492">
        <f t="shared" ref="G21:G22" si="9">SUM(D21:F21)</f>
        <v>232.6</v>
      </c>
      <c r="H21" s="487"/>
      <c r="I21" s="188">
        <f>G21+H21</f>
        <v>232.6</v>
      </c>
      <c r="J21" s="396"/>
      <c r="K21" s="391">
        <v>445</v>
      </c>
      <c r="L21" s="399">
        <v>75</v>
      </c>
      <c r="M21" s="392">
        <f t="shared" si="0"/>
        <v>520</v>
      </c>
      <c r="N21" s="389"/>
      <c r="O21" s="189">
        <f t="shared" si="3"/>
        <v>520</v>
      </c>
      <c r="P21" s="500"/>
      <c r="Q21" s="495"/>
      <c r="R21" s="502">
        <v>199.9</v>
      </c>
      <c r="S21" s="492">
        <f t="shared" si="4"/>
        <v>199.9</v>
      </c>
      <c r="T21" s="487"/>
      <c r="U21" s="490">
        <f t="shared" si="5"/>
        <v>199.9</v>
      </c>
      <c r="V21" s="501"/>
      <c r="W21" s="491"/>
      <c r="X21" s="502">
        <v>80</v>
      </c>
      <c r="Y21" s="492">
        <f t="shared" si="6"/>
        <v>80</v>
      </c>
      <c r="Z21" s="487">
        <v>211</v>
      </c>
      <c r="AA21" s="490">
        <f t="shared" si="7"/>
        <v>291</v>
      </c>
      <c r="AB21" s="190">
        <f t="shared" si="8"/>
        <v>0.55961538461538463</v>
      </c>
      <c r="AC21" s="3"/>
      <c r="AD21" s="3"/>
    </row>
    <row r="22" spans="1:30" x14ac:dyDescent="0.25">
      <c r="A22" s="3"/>
      <c r="B22" s="191" t="s">
        <v>36</v>
      </c>
      <c r="C22" s="206" t="s">
        <v>37</v>
      </c>
      <c r="D22" s="201"/>
      <c r="E22" s="194"/>
      <c r="F22" s="502">
        <f>562.9+122.7</f>
        <v>685.6</v>
      </c>
      <c r="G22" s="492">
        <f t="shared" si="9"/>
        <v>685.6</v>
      </c>
      <c r="H22" s="503">
        <v>221.3</v>
      </c>
      <c r="I22" s="188">
        <f>G22+H22</f>
        <v>906.90000000000009</v>
      </c>
      <c r="J22" s="396"/>
      <c r="K22" s="391"/>
      <c r="L22" s="399">
        <v>465</v>
      </c>
      <c r="M22" s="392">
        <f t="shared" si="0"/>
        <v>465</v>
      </c>
      <c r="N22" s="400">
        <v>229.6</v>
      </c>
      <c r="O22" s="189">
        <f>M22+N22</f>
        <v>694.6</v>
      </c>
      <c r="P22" s="501"/>
      <c r="Q22" s="491"/>
      <c r="R22" s="502">
        <f>166.2+201.3</f>
        <v>367.5</v>
      </c>
      <c r="S22" s="492">
        <f t="shared" si="4"/>
        <v>367.5</v>
      </c>
      <c r="T22" s="503">
        <v>100.8</v>
      </c>
      <c r="U22" s="490">
        <f>S22+T22</f>
        <v>468.3</v>
      </c>
      <c r="V22" s="501"/>
      <c r="W22" s="491"/>
      <c r="X22" s="502">
        <v>583</v>
      </c>
      <c r="Y22" s="492">
        <f t="shared" si="6"/>
        <v>583</v>
      </c>
      <c r="Z22" s="503">
        <v>211</v>
      </c>
      <c r="AA22" s="490">
        <f>Y22+Z22</f>
        <v>794</v>
      </c>
      <c r="AB22" s="190">
        <f t="shared" si="8"/>
        <v>1.1431039447163835</v>
      </c>
      <c r="AC22" s="3"/>
      <c r="AD22" s="3"/>
    </row>
    <row r="23" spans="1:30" x14ac:dyDescent="0.25">
      <c r="A23" s="3"/>
      <c r="B23" s="191" t="s">
        <v>38</v>
      </c>
      <c r="C23" s="206" t="s">
        <v>39</v>
      </c>
      <c r="D23" s="201"/>
      <c r="E23" s="194"/>
      <c r="F23" s="502">
        <v>0</v>
      </c>
      <c r="G23" s="492">
        <f t="shared" si="1"/>
        <v>0</v>
      </c>
      <c r="H23" s="503">
        <v>221.3</v>
      </c>
      <c r="I23" s="188">
        <f t="shared" si="2"/>
        <v>221.3</v>
      </c>
      <c r="J23" s="396"/>
      <c r="K23" s="391"/>
      <c r="L23" s="399"/>
      <c r="M23" s="392">
        <f t="shared" si="0"/>
        <v>0</v>
      </c>
      <c r="N23" s="400">
        <v>229.6</v>
      </c>
      <c r="O23" s="189">
        <f t="shared" ref="O23:O24" si="10">M23+N23</f>
        <v>229.6</v>
      </c>
      <c r="P23" s="501"/>
      <c r="Q23" s="491"/>
      <c r="R23" s="502"/>
      <c r="S23" s="492">
        <f t="shared" si="4"/>
        <v>0</v>
      </c>
      <c r="T23" s="503">
        <v>100.8</v>
      </c>
      <c r="U23" s="490">
        <f t="shared" ref="U23:U24" si="11">S23+T23</f>
        <v>100.8</v>
      </c>
      <c r="V23" s="501"/>
      <c r="W23" s="491"/>
      <c r="X23" s="502"/>
      <c r="Y23" s="492">
        <f t="shared" si="6"/>
        <v>0</v>
      </c>
      <c r="Z23" s="503"/>
      <c r="AA23" s="490">
        <f t="shared" ref="AA23:AA24" si="12">Y23+Z23</f>
        <v>0</v>
      </c>
      <c r="AB23" s="190">
        <f t="shared" si="8"/>
        <v>0</v>
      </c>
      <c r="AC23" s="3"/>
      <c r="AD23" s="3"/>
    </row>
    <row r="24" spans="1:30" ht="15.75" thickBot="1" x14ac:dyDescent="0.3">
      <c r="A24" s="3"/>
      <c r="B24" s="208" t="s">
        <v>40</v>
      </c>
      <c r="C24" s="209" t="s">
        <v>41</v>
      </c>
      <c r="D24" s="210"/>
      <c r="E24" s="211"/>
      <c r="F24" s="504">
        <v>0</v>
      </c>
      <c r="G24" s="505">
        <f t="shared" si="1"/>
        <v>0</v>
      </c>
      <c r="H24" s="506"/>
      <c r="I24" s="215">
        <f t="shared" si="2"/>
        <v>0</v>
      </c>
      <c r="J24" s="401"/>
      <c r="K24" s="402"/>
      <c r="L24" s="403"/>
      <c r="M24" s="404">
        <f t="shared" si="0"/>
        <v>0</v>
      </c>
      <c r="N24" s="405"/>
      <c r="O24" s="216">
        <f t="shared" si="10"/>
        <v>0</v>
      </c>
      <c r="P24" s="507"/>
      <c r="Q24" s="508"/>
      <c r="R24" s="504"/>
      <c r="S24" s="505">
        <f t="shared" si="4"/>
        <v>0</v>
      </c>
      <c r="T24" s="506"/>
      <c r="U24" s="509">
        <f t="shared" si="11"/>
        <v>0</v>
      </c>
      <c r="V24" s="507"/>
      <c r="W24" s="508"/>
      <c r="X24" s="504"/>
      <c r="Y24" s="505">
        <f t="shared" si="6"/>
        <v>0</v>
      </c>
      <c r="Z24" s="506"/>
      <c r="AA24" s="509">
        <f t="shared" si="12"/>
        <v>0</v>
      </c>
      <c r="AB24" s="217" t="e">
        <f t="shared" si="8"/>
        <v>#DIV/0!</v>
      </c>
      <c r="AC24" s="3"/>
      <c r="AD24" s="3"/>
    </row>
    <row r="25" spans="1:30" ht="15.75" thickBot="1" x14ac:dyDescent="0.3">
      <c r="A25" s="3"/>
      <c r="B25" s="218" t="s">
        <v>42</v>
      </c>
      <c r="C25" s="219" t="s">
        <v>43</v>
      </c>
      <c r="D25" s="510">
        <f>SUM(D15:D22)</f>
        <v>7264.0999999999995</v>
      </c>
      <c r="E25" s="511">
        <f>SUM(E15:E22)</f>
        <v>49562.700000000004</v>
      </c>
      <c r="F25" s="511">
        <f>SUM(F15:F22)</f>
        <v>4069.1</v>
      </c>
      <c r="G25" s="512">
        <f>SUM(D25:F25)</f>
        <v>60895.9</v>
      </c>
      <c r="H25" s="513">
        <f>SUM(H15:H22)</f>
        <v>726</v>
      </c>
      <c r="I25" s="513">
        <f>SUM(I15:I22)</f>
        <v>61621.9</v>
      </c>
      <c r="J25" s="224">
        <f>SUM(J15:J22)</f>
        <v>7396.7</v>
      </c>
      <c r="K25" s="225">
        <f>SUM(K15:K22)</f>
        <v>49377.599999999999</v>
      </c>
      <c r="L25" s="225">
        <f>SUM(L15:L22)</f>
        <v>4066</v>
      </c>
      <c r="M25" s="226">
        <f>SUM(J25:L25)</f>
        <v>60840.299999999996</v>
      </c>
      <c r="N25" s="227">
        <f>SUM(N15:N22)</f>
        <v>679.6</v>
      </c>
      <c r="O25" s="227">
        <f>SUM(O15:O22)</f>
        <v>61519.9</v>
      </c>
      <c r="P25" s="510">
        <f>SUM(P15:P22)</f>
        <v>4136.7</v>
      </c>
      <c r="Q25" s="511">
        <f>SUM(Q15:Q22)</f>
        <v>26117.199999999997</v>
      </c>
      <c r="R25" s="511">
        <f>SUM(R15:R22)</f>
        <v>2071.1999999999998</v>
      </c>
      <c r="S25" s="512">
        <f>SUM(P25:R25)</f>
        <v>32325.1</v>
      </c>
      <c r="T25" s="513">
        <f>SUM(T15:T22)</f>
        <v>387.7</v>
      </c>
      <c r="U25" s="513">
        <f>SUM(U15:U22)</f>
        <v>32712.799999999996</v>
      </c>
      <c r="V25" s="510">
        <f>SUM(V15:V22)</f>
        <v>16706</v>
      </c>
      <c r="W25" s="511">
        <f>SUM(W15:W22)</f>
        <v>42075.199999999997</v>
      </c>
      <c r="X25" s="511">
        <f>SUM(X15:X22)</f>
        <v>3613</v>
      </c>
      <c r="Y25" s="512">
        <f>SUM(V25:X25)</f>
        <v>62394.2</v>
      </c>
      <c r="Z25" s="513">
        <f>SUM(Z15:Z22)</f>
        <v>867</v>
      </c>
      <c r="AA25" s="513">
        <f>SUM(AA15:AA22)</f>
        <v>63261.2</v>
      </c>
      <c r="AB25" s="228">
        <f t="shared" si="8"/>
        <v>1.0283046623937944</v>
      </c>
      <c r="AC25" s="3"/>
      <c r="AD25" s="3"/>
    </row>
    <row r="26" spans="1:30" ht="15.75" customHeight="1" thickBot="1" x14ac:dyDescent="0.3">
      <c r="A26" s="3"/>
      <c r="B26" s="229"/>
      <c r="C26" s="230"/>
      <c r="D26" s="655" t="s">
        <v>44</v>
      </c>
      <c r="E26" s="656"/>
      <c r="F26" s="656"/>
      <c r="G26" s="657"/>
      <c r="H26" s="657"/>
      <c r="I26" s="658"/>
      <c r="J26" s="659" t="s">
        <v>44</v>
      </c>
      <c r="K26" s="660"/>
      <c r="L26" s="660"/>
      <c r="M26" s="661"/>
      <c r="N26" s="661"/>
      <c r="O26" s="662"/>
      <c r="P26" s="655" t="s">
        <v>44</v>
      </c>
      <c r="Q26" s="656"/>
      <c r="R26" s="656"/>
      <c r="S26" s="657"/>
      <c r="T26" s="657"/>
      <c r="U26" s="658"/>
      <c r="V26" s="655" t="s">
        <v>44</v>
      </c>
      <c r="W26" s="656"/>
      <c r="X26" s="656"/>
      <c r="Y26" s="657"/>
      <c r="Z26" s="657"/>
      <c r="AA26" s="658"/>
      <c r="AB26" s="663" t="s">
        <v>13</v>
      </c>
      <c r="AC26" s="3"/>
      <c r="AD26" s="3"/>
    </row>
    <row r="27" spans="1:30" ht="15.75" thickBot="1" x14ac:dyDescent="0.3">
      <c r="A27" s="3"/>
      <c r="B27" s="649" t="s">
        <v>7</v>
      </c>
      <c r="C27" s="651" t="s">
        <v>8</v>
      </c>
      <c r="D27" s="760" t="s">
        <v>273</v>
      </c>
      <c r="E27" s="761"/>
      <c r="F27" s="761"/>
      <c r="G27" s="762" t="s">
        <v>46</v>
      </c>
      <c r="H27" s="755" t="s">
        <v>47</v>
      </c>
      <c r="I27" s="757" t="s">
        <v>44</v>
      </c>
      <c r="J27" s="666" t="s">
        <v>45</v>
      </c>
      <c r="K27" s="667"/>
      <c r="L27" s="667"/>
      <c r="M27" s="668" t="s">
        <v>46</v>
      </c>
      <c r="N27" s="670" t="s">
        <v>47</v>
      </c>
      <c r="O27" s="672" t="s">
        <v>44</v>
      </c>
      <c r="P27" s="645" t="s">
        <v>45</v>
      </c>
      <c r="Q27" s="646"/>
      <c r="R27" s="646"/>
      <c r="S27" s="647" t="s">
        <v>46</v>
      </c>
      <c r="T27" s="637" t="s">
        <v>47</v>
      </c>
      <c r="U27" s="639" t="s">
        <v>44</v>
      </c>
      <c r="V27" s="760" t="s">
        <v>273</v>
      </c>
      <c r="W27" s="761"/>
      <c r="X27" s="761"/>
      <c r="Y27" s="762" t="s">
        <v>46</v>
      </c>
      <c r="Z27" s="755" t="s">
        <v>47</v>
      </c>
      <c r="AA27" s="757" t="s">
        <v>44</v>
      </c>
      <c r="AB27" s="664"/>
      <c r="AC27" s="3"/>
      <c r="AD27" s="3"/>
    </row>
    <row r="28" spans="1:30" ht="15.75" thickBot="1" x14ac:dyDescent="0.3">
      <c r="A28" s="3"/>
      <c r="B28" s="650"/>
      <c r="C28" s="652"/>
      <c r="D28" s="514" t="s">
        <v>48</v>
      </c>
      <c r="E28" s="515" t="s">
        <v>49</v>
      </c>
      <c r="F28" s="516" t="s">
        <v>50</v>
      </c>
      <c r="G28" s="763"/>
      <c r="H28" s="756"/>
      <c r="I28" s="758"/>
      <c r="J28" s="234" t="s">
        <v>48</v>
      </c>
      <c r="K28" s="235" t="s">
        <v>49</v>
      </c>
      <c r="L28" s="236" t="s">
        <v>50</v>
      </c>
      <c r="M28" s="669"/>
      <c r="N28" s="671"/>
      <c r="O28" s="673"/>
      <c r="P28" s="231" t="s">
        <v>48</v>
      </c>
      <c r="Q28" s="232" t="s">
        <v>49</v>
      </c>
      <c r="R28" s="233" t="s">
        <v>50</v>
      </c>
      <c r="S28" s="648"/>
      <c r="T28" s="638"/>
      <c r="U28" s="640"/>
      <c r="V28" s="514" t="s">
        <v>48</v>
      </c>
      <c r="W28" s="515" t="s">
        <v>49</v>
      </c>
      <c r="X28" s="516" t="s">
        <v>50</v>
      </c>
      <c r="Y28" s="763"/>
      <c r="Z28" s="756"/>
      <c r="AA28" s="758"/>
      <c r="AB28" s="665"/>
      <c r="AC28" s="3"/>
      <c r="AD28" s="3"/>
    </row>
    <row r="29" spans="1:30" x14ac:dyDescent="0.25">
      <c r="A29" s="3"/>
      <c r="B29" s="181" t="s">
        <v>51</v>
      </c>
      <c r="C29" s="182" t="s">
        <v>52</v>
      </c>
      <c r="D29" s="517">
        <v>469.6</v>
      </c>
      <c r="E29" s="517">
        <v>0</v>
      </c>
      <c r="F29" s="517">
        <v>0</v>
      </c>
      <c r="G29" s="518">
        <f>SUM(D29:F29)</f>
        <v>469.6</v>
      </c>
      <c r="H29" s="518"/>
      <c r="I29" s="519">
        <f>G29+H29</f>
        <v>469.6</v>
      </c>
      <c r="J29" s="406">
        <v>220.5</v>
      </c>
      <c r="K29" s="407"/>
      <c r="L29" s="407"/>
      <c r="M29" s="408">
        <f>SUM(J29:L29)</f>
        <v>220.5</v>
      </c>
      <c r="N29" s="408">
        <v>4</v>
      </c>
      <c r="O29" s="241">
        <f>M29+N29</f>
        <v>224.5</v>
      </c>
      <c r="P29" s="520">
        <v>116.1</v>
      </c>
      <c r="Q29" s="517"/>
      <c r="R29" s="517"/>
      <c r="S29" s="518">
        <f>SUM(P29:R29)</f>
        <v>116.1</v>
      </c>
      <c r="T29" s="518">
        <v>0</v>
      </c>
      <c r="U29" s="519">
        <f>S29+T29</f>
        <v>116.1</v>
      </c>
      <c r="V29" s="520">
        <v>262</v>
      </c>
      <c r="W29" s="517"/>
      <c r="X29" s="517"/>
      <c r="Y29" s="518">
        <f>SUM(V29:X29)</f>
        <v>262</v>
      </c>
      <c r="Z29" s="518">
        <v>10</v>
      </c>
      <c r="AA29" s="519">
        <f>Y29+Z29</f>
        <v>272</v>
      </c>
      <c r="AB29" s="190">
        <f t="shared" ref="AB29:AB42" si="13">(AA29/O29)</f>
        <v>1.2115812917594655</v>
      </c>
      <c r="AC29" s="3"/>
      <c r="AD29" s="3"/>
    </row>
    <row r="30" spans="1:30" x14ac:dyDescent="0.25">
      <c r="A30" s="3"/>
      <c r="B30" s="191" t="s">
        <v>53</v>
      </c>
      <c r="C30" s="206" t="s">
        <v>54</v>
      </c>
      <c r="D30" s="521">
        <f>683.6+9+20.7</f>
        <v>713.30000000000007</v>
      </c>
      <c r="E30" s="521">
        <f>485.2+135.6</f>
        <v>620.79999999999995</v>
      </c>
      <c r="F30" s="521">
        <v>2284.8000000000002</v>
      </c>
      <c r="G30" s="522">
        <f t="shared" ref="G30:G39" si="14">SUM(D30:F30)</f>
        <v>3618.9</v>
      </c>
      <c r="H30" s="522">
        <v>326.5</v>
      </c>
      <c r="I30" s="490">
        <f t="shared" ref="I30:I39" si="15">G30+H30</f>
        <v>3945.4</v>
      </c>
      <c r="J30" s="245">
        <v>646</v>
      </c>
      <c r="K30" s="246">
        <v>337.1</v>
      </c>
      <c r="L30" s="246">
        <v>2663</v>
      </c>
      <c r="M30" s="247">
        <f t="shared" ref="M30:M39" si="16">SUM(J30:L30)</f>
        <v>3646.1</v>
      </c>
      <c r="N30" s="247">
        <v>290</v>
      </c>
      <c r="O30" s="189">
        <f t="shared" ref="O30:O39" si="17">M30+N30</f>
        <v>3936.1</v>
      </c>
      <c r="P30" s="523">
        <v>322.89999999999998</v>
      </c>
      <c r="Q30" s="521">
        <f>60.5+303.3</f>
        <v>363.8</v>
      </c>
      <c r="R30" s="521">
        <v>1251.3</v>
      </c>
      <c r="S30" s="522">
        <f t="shared" ref="S30:S39" si="18">SUM(P30:R30)</f>
        <v>1938</v>
      </c>
      <c r="T30" s="522">
        <v>186.9</v>
      </c>
      <c r="U30" s="490">
        <f t="shared" ref="U30:U39" si="19">S30+T30</f>
        <v>2124.9</v>
      </c>
      <c r="V30" s="523">
        <f>716.5+500+15+100+50</f>
        <v>1381.5</v>
      </c>
      <c r="W30" s="521">
        <v>26</v>
      </c>
      <c r="X30" s="521">
        <v>2348</v>
      </c>
      <c r="Y30" s="522">
        <f t="shared" ref="Y30:Y39" si="20">SUM(V30:X30)</f>
        <v>3755.5</v>
      </c>
      <c r="Z30" s="522">
        <v>471</v>
      </c>
      <c r="AA30" s="490">
        <f t="shared" ref="AA30:AA39" si="21">Y30+Z30</f>
        <v>4226.5</v>
      </c>
      <c r="AB30" s="190">
        <f t="shared" si="13"/>
        <v>1.0737786133482381</v>
      </c>
      <c r="AC30" s="3"/>
      <c r="AD30" s="3"/>
    </row>
    <row r="31" spans="1:30" x14ac:dyDescent="0.25">
      <c r="A31" s="3"/>
      <c r="B31" s="191" t="s">
        <v>55</v>
      </c>
      <c r="C31" s="206" t="s">
        <v>56</v>
      </c>
      <c r="D31" s="521">
        <v>2854.8</v>
      </c>
      <c r="E31" s="521">
        <v>0</v>
      </c>
      <c r="F31" s="521"/>
      <c r="G31" s="522">
        <f t="shared" si="14"/>
        <v>2854.8</v>
      </c>
      <c r="H31" s="522">
        <v>60</v>
      </c>
      <c r="I31" s="490">
        <f t="shared" si="15"/>
        <v>2914.8</v>
      </c>
      <c r="J31" s="245">
        <v>3329.7</v>
      </c>
      <c r="K31" s="246"/>
      <c r="L31" s="246">
        <v>10</v>
      </c>
      <c r="M31" s="247">
        <f t="shared" si="16"/>
        <v>3339.7</v>
      </c>
      <c r="N31" s="247">
        <v>85.8</v>
      </c>
      <c r="O31" s="189">
        <f t="shared" si="17"/>
        <v>3425.5</v>
      </c>
      <c r="P31" s="523">
        <v>1612.6</v>
      </c>
      <c r="Q31" s="521"/>
      <c r="R31" s="521"/>
      <c r="S31" s="522">
        <f t="shared" si="18"/>
        <v>1612.6</v>
      </c>
      <c r="T31" s="522">
        <v>29.9</v>
      </c>
      <c r="U31" s="490">
        <f t="shared" si="19"/>
        <v>1642.5</v>
      </c>
      <c r="V31" s="523">
        <v>3110</v>
      </c>
      <c r="W31" s="521"/>
      <c r="X31" s="521"/>
      <c r="Y31" s="522">
        <f t="shared" si="20"/>
        <v>3110</v>
      </c>
      <c r="Z31" s="522">
        <v>99</v>
      </c>
      <c r="AA31" s="490">
        <f t="shared" si="21"/>
        <v>3209</v>
      </c>
      <c r="AB31" s="190">
        <f t="shared" si="13"/>
        <v>0.93679754780324043</v>
      </c>
      <c r="AC31" s="3"/>
      <c r="AD31" s="3"/>
    </row>
    <row r="32" spans="1:30" x14ac:dyDescent="0.25">
      <c r="A32" s="3"/>
      <c r="B32" s="191" t="s">
        <v>57</v>
      </c>
      <c r="C32" s="206" t="s">
        <v>58</v>
      </c>
      <c r="D32" s="521">
        <f>1517.6+33+17.3</f>
        <v>1567.8999999999999</v>
      </c>
      <c r="E32" s="521">
        <f>114.7+243.5+71.5</f>
        <v>429.7</v>
      </c>
      <c r="F32" s="521">
        <v>8.9</v>
      </c>
      <c r="G32" s="522">
        <f t="shared" si="14"/>
        <v>2006.5</v>
      </c>
      <c r="H32" s="522"/>
      <c r="I32" s="490">
        <f t="shared" si="15"/>
        <v>2006.5</v>
      </c>
      <c r="J32" s="245">
        <v>1455.5</v>
      </c>
      <c r="K32" s="246">
        <v>320</v>
      </c>
      <c r="L32" s="246">
        <v>70</v>
      </c>
      <c r="M32" s="247">
        <f t="shared" si="16"/>
        <v>1845.5</v>
      </c>
      <c r="N32" s="247">
        <v>15</v>
      </c>
      <c r="O32" s="189">
        <f t="shared" si="17"/>
        <v>1860.5</v>
      </c>
      <c r="P32" s="523">
        <v>766.7</v>
      </c>
      <c r="Q32" s="521">
        <f>110.7+698.6+25.9</f>
        <v>835.2</v>
      </c>
      <c r="R32" s="521">
        <v>94.4</v>
      </c>
      <c r="S32" s="522">
        <f t="shared" si="18"/>
        <v>1696.3000000000002</v>
      </c>
      <c r="T32" s="522">
        <v>0</v>
      </c>
      <c r="U32" s="490">
        <f t="shared" si="19"/>
        <v>1696.3000000000002</v>
      </c>
      <c r="V32" s="523">
        <f>1577.5+90+25</f>
        <v>1692.5</v>
      </c>
      <c r="W32" s="521">
        <v>100</v>
      </c>
      <c r="X32" s="521">
        <v>180</v>
      </c>
      <c r="Y32" s="522">
        <f t="shared" si="20"/>
        <v>1972.5</v>
      </c>
      <c r="Z32" s="522">
        <v>15</v>
      </c>
      <c r="AA32" s="490">
        <f t="shared" si="21"/>
        <v>1987.5</v>
      </c>
      <c r="AB32" s="190">
        <f t="shared" si="13"/>
        <v>1.0682612201021231</v>
      </c>
      <c r="AC32" s="3"/>
      <c r="AD32" s="3"/>
    </row>
    <row r="33" spans="1:30" x14ac:dyDescent="0.25">
      <c r="A33" s="3"/>
      <c r="B33" s="191" t="s">
        <v>59</v>
      </c>
      <c r="C33" s="206" t="s">
        <v>60</v>
      </c>
      <c r="D33" s="524">
        <f>SUM(D34:D35)</f>
        <v>370.8</v>
      </c>
      <c r="E33" s="521">
        <f>SUM(E34:E35)</f>
        <v>35601.600000000006</v>
      </c>
      <c r="F33" s="524">
        <f>SUM(F34:F35)</f>
        <v>1.7</v>
      </c>
      <c r="G33" s="522">
        <f t="shared" si="14"/>
        <v>35974.100000000006</v>
      </c>
      <c r="H33" s="522">
        <f>SUM(H34:H35)</f>
        <v>132</v>
      </c>
      <c r="I33" s="490">
        <f t="shared" si="15"/>
        <v>36106.100000000006</v>
      </c>
      <c r="J33" s="245">
        <f>SUM(J34:J35)</f>
        <v>316.10000000000002</v>
      </c>
      <c r="K33" s="245">
        <f t="shared" ref="K33:L33" si="22">SUM(K34:K35)</f>
        <v>35210.400000000001</v>
      </c>
      <c r="L33" s="245">
        <f t="shared" si="22"/>
        <v>5</v>
      </c>
      <c r="M33" s="247">
        <f t="shared" si="16"/>
        <v>35531.5</v>
      </c>
      <c r="N33" s="247">
        <f>SUM(N34:N35)</f>
        <v>155</v>
      </c>
      <c r="O33" s="189">
        <f t="shared" si="17"/>
        <v>35686.5</v>
      </c>
      <c r="P33" s="525">
        <f>SUM(P34:P35)</f>
        <v>202.1</v>
      </c>
      <c r="Q33" s="525">
        <f t="shared" ref="Q33:R33" si="23">SUM(Q34:Q35)</f>
        <v>18462.400000000001</v>
      </c>
      <c r="R33" s="525">
        <f t="shared" si="23"/>
        <v>0</v>
      </c>
      <c r="S33" s="522">
        <f t="shared" si="18"/>
        <v>18664.5</v>
      </c>
      <c r="T33" s="522">
        <f>SUM(T34:T35)</f>
        <v>75.199999999999989</v>
      </c>
      <c r="U33" s="490">
        <f t="shared" si="19"/>
        <v>18739.7</v>
      </c>
      <c r="V33" s="525">
        <f>SUM(V34:V35)</f>
        <v>6371.7</v>
      </c>
      <c r="W33" s="526">
        <f t="shared" ref="W33:X33" si="24">SUM(W34:W35)</f>
        <v>31143.5</v>
      </c>
      <c r="X33" s="526">
        <f t="shared" si="24"/>
        <v>0</v>
      </c>
      <c r="Y33" s="522">
        <f t="shared" si="20"/>
        <v>37515.199999999997</v>
      </c>
      <c r="Z33" s="522">
        <f>SUM(Z34:Z35)</f>
        <v>148</v>
      </c>
      <c r="AA33" s="490">
        <f t="shared" si="21"/>
        <v>37663.199999999997</v>
      </c>
      <c r="AB33" s="190">
        <f t="shared" si="13"/>
        <v>1.0553906939599007</v>
      </c>
      <c r="AC33" s="3"/>
      <c r="AD33" s="3"/>
    </row>
    <row r="34" spans="1:30" x14ac:dyDescent="0.25">
      <c r="A34" s="3"/>
      <c r="B34" s="191" t="s">
        <v>61</v>
      </c>
      <c r="C34" s="202" t="s">
        <v>127</v>
      </c>
      <c r="D34" s="524">
        <f>161.6+131.4</f>
        <v>293</v>
      </c>
      <c r="E34" s="521">
        <f>27122.5+173.4+5259.7+43.8+1838.5+34.6+430.4+4.4</f>
        <v>34907.300000000003</v>
      </c>
      <c r="F34" s="521">
        <v>1.7</v>
      </c>
      <c r="G34" s="522">
        <f>SUM(D34:F34)</f>
        <v>35202</v>
      </c>
      <c r="H34" s="522">
        <v>68</v>
      </c>
      <c r="I34" s="490">
        <f t="shared" si="15"/>
        <v>35270</v>
      </c>
      <c r="J34" s="245">
        <v>292.10000000000002</v>
      </c>
      <c r="K34" s="246">
        <v>34864</v>
      </c>
      <c r="L34" s="246">
        <v>5</v>
      </c>
      <c r="M34" s="247">
        <f t="shared" si="16"/>
        <v>35161.1</v>
      </c>
      <c r="N34" s="247">
        <v>55</v>
      </c>
      <c r="O34" s="189">
        <f t="shared" si="17"/>
        <v>35216.1</v>
      </c>
      <c r="P34" s="525">
        <f>174</f>
        <v>174</v>
      </c>
      <c r="Q34" s="521">
        <f>16399.2+1519+114.5</f>
        <v>18032.7</v>
      </c>
      <c r="R34" s="521"/>
      <c r="S34" s="522">
        <f t="shared" si="18"/>
        <v>18206.7</v>
      </c>
      <c r="T34" s="522">
        <v>40.4</v>
      </c>
      <c r="U34" s="490">
        <f t="shared" si="19"/>
        <v>18247.100000000002</v>
      </c>
      <c r="V34" s="526">
        <f>6046.4+130.3</f>
        <v>6176.7</v>
      </c>
      <c r="W34" s="521">
        <f>1030.8+494.7+29538</f>
        <v>31063.5</v>
      </c>
      <c r="X34" s="521"/>
      <c r="Y34" s="522">
        <f t="shared" si="20"/>
        <v>37240.199999999997</v>
      </c>
      <c r="Z34" s="522">
        <v>68</v>
      </c>
      <c r="AA34" s="490">
        <f t="shared" si="21"/>
        <v>37308.199999999997</v>
      </c>
      <c r="AB34" s="190">
        <f t="shared" si="13"/>
        <v>1.0594074869164956</v>
      </c>
      <c r="AC34" s="3"/>
      <c r="AD34" s="3"/>
    </row>
    <row r="35" spans="1:30" x14ac:dyDescent="0.25">
      <c r="A35" s="3"/>
      <c r="B35" s="191" t="s">
        <v>63</v>
      </c>
      <c r="C35" s="250" t="s">
        <v>64</v>
      </c>
      <c r="D35" s="524">
        <v>77.8</v>
      </c>
      <c r="E35" s="521">
        <f>61.7+113.3+249.9+142.2+127.2</f>
        <v>694.3</v>
      </c>
      <c r="F35" s="521"/>
      <c r="G35" s="522">
        <f t="shared" si="14"/>
        <v>772.09999999999991</v>
      </c>
      <c r="H35" s="522">
        <v>64</v>
      </c>
      <c r="I35" s="490">
        <f t="shared" si="15"/>
        <v>836.09999999999991</v>
      </c>
      <c r="J35" s="245">
        <v>24</v>
      </c>
      <c r="K35" s="246">
        <v>346.4</v>
      </c>
      <c r="L35" s="246"/>
      <c r="M35" s="247">
        <f>SUM(J35:L35)</f>
        <v>370.4</v>
      </c>
      <c r="N35" s="247">
        <v>100</v>
      </c>
      <c r="O35" s="189">
        <f t="shared" si="17"/>
        <v>470.4</v>
      </c>
      <c r="P35" s="526">
        <v>28.1</v>
      </c>
      <c r="Q35" s="521">
        <f>85.4+272.6+71.7</f>
        <v>429.7</v>
      </c>
      <c r="R35" s="521"/>
      <c r="S35" s="522">
        <f t="shared" si="18"/>
        <v>457.8</v>
      </c>
      <c r="T35" s="522">
        <v>34.799999999999997</v>
      </c>
      <c r="U35" s="490">
        <f t="shared" si="19"/>
        <v>492.6</v>
      </c>
      <c r="V35" s="526">
        <f>40+155</f>
        <v>195</v>
      </c>
      <c r="W35" s="521">
        <v>80</v>
      </c>
      <c r="X35" s="521"/>
      <c r="Y35" s="522">
        <f t="shared" si="20"/>
        <v>275</v>
      </c>
      <c r="Z35" s="522">
        <v>80</v>
      </c>
      <c r="AA35" s="490">
        <f t="shared" si="21"/>
        <v>355</v>
      </c>
      <c r="AB35" s="190">
        <f t="shared" si="13"/>
        <v>0.75467687074829937</v>
      </c>
      <c r="AC35" s="3"/>
      <c r="AD35" s="3"/>
    </row>
    <row r="36" spans="1:30" x14ac:dyDescent="0.25">
      <c r="A36" s="3"/>
      <c r="B36" s="191" t="s">
        <v>65</v>
      </c>
      <c r="C36" s="206" t="s">
        <v>66</v>
      </c>
      <c r="D36" s="527">
        <f>54.6+44.4</f>
        <v>99</v>
      </c>
      <c r="E36" s="521">
        <f>10841.3+621.4+145.5</f>
        <v>11608.199999999999</v>
      </c>
      <c r="F36" s="521">
        <v>0.6</v>
      </c>
      <c r="G36" s="522">
        <f t="shared" si="14"/>
        <v>11707.8</v>
      </c>
      <c r="H36" s="522">
        <v>23</v>
      </c>
      <c r="I36" s="490">
        <f t="shared" si="15"/>
        <v>11730.8</v>
      </c>
      <c r="J36" s="245">
        <v>98.7</v>
      </c>
      <c r="K36" s="246">
        <v>11725.6</v>
      </c>
      <c r="L36" s="246">
        <v>130</v>
      </c>
      <c r="M36" s="247">
        <f t="shared" ref="M36" si="25">SUM(J36:L36)</f>
        <v>11954.300000000001</v>
      </c>
      <c r="N36" s="247">
        <v>18.899999999999999</v>
      </c>
      <c r="O36" s="189">
        <f t="shared" si="17"/>
        <v>11973.2</v>
      </c>
      <c r="P36" s="526">
        <v>58.8</v>
      </c>
      <c r="Q36" s="521">
        <f>5435.3+496.4+37.3</f>
        <v>5969</v>
      </c>
      <c r="R36" s="521"/>
      <c r="S36" s="522">
        <f t="shared" si="18"/>
        <v>6027.8</v>
      </c>
      <c r="T36" s="522">
        <v>13.6</v>
      </c>
      <c r="U36" s="490">
        <f t="shared" si="19"/>
        <v>6041.4000000000005</v>
      </c>
      <c r="V36" s="526">
        <f>2294.4+44.1</f>
        <v>2338.5</v>
      </c>
      <c r="W36" s="521">
        <f>165.5+344.1+9983.8</f>
        <v>10493.4</v>
      </c>
      <c r="X36" s="521"/>
      <c r="Y36" s="522">
        <f t="shared" si="20"/>
        <v>12831.9</v>
      </c>
      <c r="Z36" s="522"/>
      <c r="AA36" s="490">
        <f t="shared" si="21"/>
        <v>12831.9</v>
      </c>
      <c r="AB36" s="190">
        <f t="shared" si="13"/>
        <v>1.0717185046604081</v>
      </c>
      <c r="AC36" s="3"/>
      <c r="AD36" s="3"/>
    </row>
    <row r="37" spans="1:30" x14ac:dyDescent="0.25">
      <c r="A37" s="3"/>
      <c r="B37" s="191" t="s">
        <v>67</v>
      </c>
      <c r="C37" s="206" t="s">
        <v>68</v>
      </c>
      <c r="D37" s="521">
        <v>0</v>
      </c>
      <c r="E37" s="521"/>
      <c r="F37" s="521">
        <v>118.2</v>
      </c>
      <c r="G37" s="522">
        <f t="shared" si="14"/>
        <v>118.2</v>
      </c>
      <c r="H37" s="522"/>
      <c r="I37" s="490">
        <f t="shared" si="15"/>
        <v>118.2</v>
      </c>
      <c r="J37" s="245"/>
      <c r="K37" s="246"/>
      <c r="L37" s="246"/>
      <c r="M37" s="247">
        <f t="shared" si="16"/>
        <v>0</v>
      </c>
      <c r="N37" s="247"/>
      <c r="O37" s="189">
        <f t="shared" si="17"/>
        <v>0</v>
      </c>
      <c r="P37" s="523"/>
      <c r="Q37" s="521"/>
      <c r="R37" s="521">
        <v>34.9</v>
      </c>
      <c r="S37" s="522">
        <f t="shared" si="18"/>
        <v>34.9</v>
      </c>
      <c r="T37" s="522">
        <v>0</v>
      </c>
      <c r="U37" s="490">
        <f t="shared" si="19"/>
        <v>34.9</v>
      </c>
      <c r="V37" s="523"/>
      <c r="W37" s="521"/>
      <c r="X37" s="521">
        <v>71</v>
      </c>
      <c r="Y37" s="522">
        <f t="shared" si="20"/>
        <v>71</v>
      </c>
      <c r="Z37" s="522">
        <v>23.4</v>
      </c>
      <c r="AA37" s="490">
        <f t="shared" si="21"/>
        <v>94.4</v>
      </c>
      <c r="AB37" s="190" t="e">
        <f t="shared" si="13"/>
        <v>#DIV/0!</v>
      </c>
      <c r="AC37" s="3"/>
      <c r="AD37" s="3"/>
    </row>
    <row r="38" spans="1:30" x14ac:dyDescent="0.25">
      <c r="A38" s="3"/>
      <c r="B38" s="191" t="s">
        <v>69</v>
      </c>
      <c r="C38" s="206" t="s">
        <v>70</v>
      </c>
      <c r="D38" s="521">
        <v>951.1</v>
      </c>
      <c r="E38" s="521"/>
      <c r="F38" s="521">
        <v>1000.9</v>
      </c>
      <c r="G38" s="522">
        <f t="shared" si="14"/>
        <v>1952</v>
      </c>
      <c r="H38" s="522"/>
      <c r="I38" s="490">
        <f t="shared" si="15"/>
        <v>1952</v>
      </c>
      <c r="J38" s="245">
        <v>996.4</v>
      </c>
      <c r="K38" s="246"/>
      <c r="L38" s="246">
        <v>1030</v>
      </c>
      <c r="M38" s="247">
        <f t="shared" si="16"/>
        <v>2026.4</v>
      </c>
      <c r="N38" s="247"/>
      <c r="O38" s="189">
        <f t="shared" si="17"/>
        <v>2026.4</v>
      </c>
      <c r="P38" s="523">
        <v>461.4</v>
      </c>
      <c r="Q38" s="521"/>
      <c r="R38" s="521">
        <v>345.3</v>
      </c>
      <c r="S38" s="522">
        <f t="shared" si="18"/>
        <v>806.7</v>
      </c>
      <c r="T38" s="522">
        <v>0</v>
      </c>
      <c r="U38" s="490">
        <f t="shared" si="19"/>
        <v>806.7</v>
      </c>
      <c r="V38" s="523">
        <v>1022.5</v>
      </c>
      <c r="W38" s="521"/>
      <c r="X38" s="521">
        <v>800</v>
      </c>
      <c r="Y38" s="522">
        <f t="shared" si="20"/>
        <v>1822.5</v>
      </c>
      <c r="Z38" s="522"/>
      <c r="AA38" s="490">
        <f t="shared" si="21"/>
        <v>1822.5</v>
      </c>
      <c r="AB38" s="190">
        <f t="shared" si="13"/>
        <v>0.89937820765890242</v>
      </c>
      <c r="AC38" s="3"/>
      <c r="AD38" s="3"/>
    </row>
    <row r="39" spans="1:30" ht="15.75" thickBot="1" x14ac:dyDescent="0.3">
      <c r="A39" s="3"/>
      <c r="B39" s="409" t="s">
        <v>71</v>
      </c>
      <c r="C39" s="251" t="s">
        <v>72</v>
      </c>
      <c r="D39" s="528">
        <f>73.6+161.1+1.9+55.3+40.5+9</f>
        <v>341.4</v>
      </c>
      <c r="E39" s="528">
        <f>13.8+401.9+191.3+140.5+5.1+65.7+133.3+6.9+8.5+56.1+1.8+1.5+460.9</f>
        <v>1487.3000000000002</v>
      </c>
      <c r="F39" s="528">
        <f>35.8+281.2</f>
        <v>317</v>
      </c>
      <c r="G39" s="522">
        <f t="shared" si="14"/>
        <v>2145.7000000000003</v>
      </c>
      <c r="H39" s="529">
        <v>0.6</v>
      </c>
      <c r="I39" s="509">
        <f t="shared" si="15"/>
        <v>2146.3000000000002</v>
      </c>
      <c r="J39" s="410">
        <v>333.8</v>
      </c>
      <c r="K39" s="411">
        <v>1784.5</v>
      </c>
      <c r="L39" s="411">
        <v>158</v>
      </c>
      <c r="M39" s="412">
        <f t="shared" si="16"/>
        <v>2276.3000000000002</v>
      </c>
      <c r="N39" s="412">
        <v>110.9</v>
      </c>
      <c r="O39" s="216">
        <f t="shared" si="17"/>
        <v>2387.2000000000003</v>
      </c>
      <c r="P39" s="530">
        <f>34.3+1.2+9.8+85.8+98.3</f>
        <v>229.39999999999998</v>
      </c>
      <c r="Q39" s="528">
        <f>59.6+4.6+76.2+206.1+11.7+0.8+4.5+125+28+2.7+52.8+1+4+(0.2)</f>
        <v>577.20000000000005</v>
      </c>
      <c r="R39" s="528">
        <f>30.1+142.3</f>
        <v>172.4</v>
      </c>
      <c r="S39" s="529">
        <f t="shared" si="18"/>
        <v>979</v>
      </c>
      <c r="T39" s="529">
        <v>0.4</v>
      </c>
      <c r="U39" s="509">
        <f t="shared" si="19"/>
        <v>979.4</v>
      </c>
      <c r="V39" s="530">
        <f>219+41+40+27.5+2+36+50+50+60.5+1.3</f>
        <v>527.29999999999995</v>
      </c>
      <c r="W39" s="528">
        <f>10.3+6.6+295.4</f>
        <v>312.29999999999995</v>
      </c>
      <c r="X39" s="528">
        <v>214</v>
      </c>
      <c r="Y39" s="529">
        <f t="shared" si="20"/>
        <v>1053.5999999999999</v>
      </c>
      <c r="Z39" s="529">
        <v>100.6</v>
      </c>
      <c r="AA39" s="509">
        <f t="shared" si="21"/>
        <v>1154.1999999999998</v>
      </c>
      <c r="AB39" s="217">
        <f t="shared" si="13"/>
        <v>0.4834953083109918</v>
      </c>
      <c r="AC39" s="3"/>
      <c r="AD39" s="3"/>
    </row>
    <row r="40" spans="1:30" ht="15.75" thickBot="1" x14ac:dyDescent="0.3">
      <c r="A40" s="3"/>
      <c r="B40" s="218" t="s">
        <v>73</v>
      </c>
      <c r="C40" s="255" t="s">
        <v>74</v>
      </c>
      <c r="D40" s="531">
        <f>SUM(D36:D39)+SUM(D29:D33)</f>
        <v>7367.9000000000005</v>
      </c>
      <c r="E40" s="531">
        <f>SUM(E36:E39)+SUM(E29:E33)</f>
        <v>49747.600000000006</v>
      </c>
      <c r="F40" s="531">
        <f>SUM(F36:F39)+SUM(F29:F33)</f>
        <v>3732.1000000000004</v>
      </c>
      <c r="G40" s="532">
        <f>SUM(D40:F40)</f>
        <v>60847.600000000006</v>
      </c>
      <c r="H40" s="533">
        <f>SUM(H29:H33)+SUM(H36:H39)</f>
        <v>542.1</v>
      </c>
      <c r="I40" s="534">
        <f>SUM(I36:I39)+SUM(I29:I33)</f>
        <v>61389.700000000012</v>
      </c>
      <c r="J40" s="260">
        <f>SUM(J36:J39)+SUM(J29:J33)</f>
        <v>7396.7</v>
      </c>
      <c r="K40" s="260">
        <f>SUM(K36:K39)+SUM(K29:K33)</f>
        <v>49377.599999999999</v>
      </c>
      <c r="L40" s="260">
        <f>SUM(L36:L39)+SUM(L29:L33)</f>
        <v>4066</v>
      </c>
      <c r="M40" s="261">
        <f>SUM(J40:L40)</f>
        <v>60840.299999999996</v>
      </c>
      <c r="N40" s="262">
        <f>SUM(N29:N33)+SUM(N36:N39)</f>
        <v>679.59999999999991</v>
      </c>
      <c r="O40" s="263">
        <f>SUM(O36:O39)+SUM(O29:O33)</f>
        <v>61519.899999999994</v>
      </c>
      <c r="P40" s="531">
        <f>SUM(P36:P39)+SUM(P29:P33)</f>
        <v>3770</v>
      </c>
      <c r="Q40" s="531">
        <f>SUM(Q36:Q39)+SUM(Q29:Q33)</f>
        <v>26207.600000000002</v>
      </c>
      <c r="R40" s="531">
        <f>SUM(R36:R39)+SUM(R29:R33)</f>
        <v>1898.3000000000002</v>
      </c>
      <c r="S40" s="532">
        <f>SUM(P40:R40)</f>
        <v>31875.9</v>
      </c>
      <c r="T40" s="533">
        <f>SUM(T29:T33)+SUM(T36:T39)</f>
        <v>306</v>
      </c>
      <c r="U40" s="534">
        <f>SUM(U36:U39)+SUM(U29:U33)</f>
        <v>32181.9</v>
      </c>
      <c r="V40" s="531">
        <f>SUM(V36:V39)+SUM(V29:V33)</f>
        <v>16706</v>
      </c>
      <c r="W40" s="531">
        <f>SUM(W36:W39)+SUM(W29:W33)</f>
        <v>42075.199999999997</v>
      </c>
      <c r="X40" s="531">
        <f>SUM(X36:X39)+SUM(X29:X33)</f>
        <v>3613</v>
      </c>
      <c r="Y40" s="257">
        <f>SUM(V40:X40)</f>
        <v>62394.2</v>
      </c>
      <c r="Z40" s="258">
        <f>SUM(Z29:Z33)+SUM(Z36:Z39)</f>
        <v>867</v>
      </c>
      <c r="AA40" s="259">
        <f>SUM(AA36:AA39)+SUM(AA29:AA33)</f>
        <v>63261.2</v>
      </c>
      <c r="AB40" s="264">
        <f t="shared" si="13"/>
        <v>1.0283046623937946</v>
      </c>
      <c r="AC40" s="3"/>
      <c r="AD40" s="3"/>
    </row>
    <row r="41" spans="1:30" ht="19.5" thickBot="1" x14ac:dyDescent="0.35">
      <c r="A41" s="3"/>
      <c r="B41" s="265" t="s">
        <v>75</v>
      </c>
      <c r="C41" s="266" t="s">
        <v>76</v>
      </c>
      <c r="D41" s="267">
        <f t="shared" ref="D41:AA41" si="26">D25-D40</f>
        <v>-103.80000000000109</v>
      </c>
      <c r="E41" s="267">
        <f t="shared" si="26"/>
        <v>-184.90000000000146</v>
      </c>
      <c r="F41" s="267">
        <f t="shared" si="26"/>
        <v>336.99999999999955</v>
      </c>
      <c r="G41" s="268">
        <f t="shared" si="26"/>
        <v>48.299999999995634</v>
      </c>
      <c r="H41" s="268">
        <f t="shared" si="26"/>
        <v>183.89999999999998</v>
      </c>
      <c r="I41" s="269">
        <f t="shared" si="26"/>
        <v>232.19999999998981</v>
      </c>
      <c r="J41" s="267">
        <f t="shared" si="26"/>
        <v>0</v>
      </c>
      <c r="K41" s="267">
        <f t="shared" si="26"/>
        <v>0</v>
      </c>
      <c r="L41" s="267">
        <f t="shared" si="26"/>
        <v>0</v>
      </c>
      <c r="M41" s="270">
        <f t="shared" si="26"/>
        <v>0</v>
      </c>
      <c r="N41" s="270">
        <f t="shared" si="26"/>
        <v>0</v>
      </c>
      <c r="O41" s="271">
        <f t="shared" si="26"/>
        <v>0</v>
      </c>
      <c r="P41" s="535">
        <f t="shared" si="26"/>
        <v>366.69999999999982</v>
      </c>
      <c r="Q41" s="536">
        <f t="shared" si="26"/>
        <v>-90.400000000005093</v>
      </c>
      <c r="R41" s="267">
        <f t="shared" si="26"/>
        <v>172.89999999999964</v>
      </c>
      <c r="S41" s="268">
        <f t="shared" si="26"/>
        <v>449.19999999999709</v>
      </c>
      <c r="T41" s="268">
        <f t="shared" si="26"/>
        <v>81.699999999999989</v>
      </c>
      <c r="U41" s="269">
        <f t="shared" si="26"/>
        <v>530.89999999999418</v>
      </c>
      <c r="V41" s="535">
        <f t="shared" si="26"/>
        <v>0</v>
      </c>
      <c r="W41" s="535">
        <f>W25-W40</f>
        <v>0</v>
      </c>
      <c r="X41" s="535">
        <f t="shared" si="26"/>
        <v>0</v>
      </c>
      <c r="Y41" s="268">
        <f t="shared" si="26"/>
        <v>0</v>
      </c>
      <c r="Z41" s="268">
        <f t="shared" si="26"/>
        <v>0</v>
      </c>
      <c r="AA41" s="269">
        <f t="shared" si="26"/>
        <v>0</v>
      </c>
      <c r="AB41" s="272" t="e">
        <f t="shared" si="13"/>
        <v>#DIV/0!</v>
      </c>
      <c r="AC41" s="3"/>
      <c r="AD41" s="3"/>
    </row>
    <row r="42" spans="1:30" ht="15.75" thickBot="1" x14ac:dyDescent="0.3">
      <c r="A42" s="3"/>
      <c r="B42" s="273" t="s">
        <v>77</v>
      </c>
      <c r="C42" s="274" t="s">
        <v>78</v>
      </c>
      <c r="D42" s="275"/>
      <c r="E42" s="276"/>
      <c r="F42" s="276"/>
      <c r="G42" s="277"/>
      <c r="H42" s="278"/>
      <c r="I42" s="279">
        <f>I41-D16</f>
        <v>-6551.00000000001</v>
      </c>
      <c r="J42" s="275"/>
      <c r="K42" s="276"/>
      <c r="L42" s="276"/>
      <c r="M42" s="277"/>
      <c r="N42" s="280"/>
      <c r="O42" s="279">
        <f>O41-J16</f>
        <v>-7000</v>
      </c>
      <c r="P42" s="275"/>
      <c r="Q42" s="276"/>
      <c r="R42" s="276"/>
      <c r="S42" s="277"/>
      <c r="T42" s="280"/>
      <c r="U42" s="279">
        <f>U41-P16</f>
        <v>-3209.1000000000058</v>
      </c>
      <c r="V42" s="275"/>
      <c r="W42" s="276"/>
      <c r="X42" s="276"/>
      <c r="Y42" s="277"/>
      <c r="Z42" s="280"/>
      <c r="AA42" s="279">
        <f>AA41-V16</f>
        <v>-7234</v>
      </c>
      <c r="AB42" s="190">
        <f t="shared" si="13"/>
        <v>1.0334285714285714</v>
      </c>
      <c r="AC42" s="3"/>
      <c r="AD42" s="3"/>
    </row>
    <row r="43" spans="1:30" ht="8.25" customHeight="1" thickBot="1" x14ac:dyDescent="0.3">
      <c r="A43" s="3"/>
      <c r="B43" s="281"/>
      <c r="C43" s="282"/>
      <c r="D43" s="283"/>
      <c r="E43" s="284"/>
      <c r="F43" s="284"/>
      <c r="G43" s="3"/>
      <c r="H43" s="284"/>
      <c r="I43" s="284"/>
      <c r="J43" s="283"/>
      <c r="K43" s="284"/>
      <c r="L43" s="284"/>
      <c r="M43" s="3"/>
      <c r="N43" s="284"/>
      <c r="O43" s="284"/>
      <c r="P43" s="284"/>
      <c r="Q43" s="284"/>
      <c r="R43" s="284"/>
      <c r="S43" s="284"/>
      <c r="T43" s="284"/>
      <c r="U43" s="284"/>
      <c r="V43" s="3"/>
      <c r="W43" s="3"/>
      <c r="X43" s="3"/>
      <c r="Y43" s="3"/>
      <c r="Z43" s="3"/>
      <c r="AA43" s="3"/>
      <c r="AB43" s="3"/>
      <c r="AC43" s="3"/>
      <c r="AD43" s="3"/>
    </row>
    <row r="44" spans="1:30" ht="15.75" customHeight="1" thickBot="1" x14ac:dyDescent="0.3">
      <c r="A44" s="3"/>
      <c r="B44" s="281"/>
      <c r="C44" s="641" t="s">
        <v>79</v>
      </c>
      <c r="D44" s="123" t="s">
        <v>80</v>
      </c>
      <c r="E44" s="285" t="s">
        <v>81</v>
      </c>
      <c r="F44" s="286" t="s">
        <v>82</v>
      </c>
      <c r="G44" s="284"/>
      <c r="H44" s="284"/>
      <c r="I44" s="287"/>
      <c r="J44" s="123" t="s">
        <v>80</v>
      </c>
      <c r="K44" s="285" t="s">
        <v>81</v>
      </c>
      <c r="L44" s="286" t="s">
        <v>82</v>
      </c>
      <c r="M44" s="284"/>
      <c r="N44" s="284"/>
      <c r="O44" s="284"/>
      <c r="P44" s="123" t="s">
        <v>80</v>
      </c>
      <c r="Q44" s="285" t="s">
        <v>81</v>
      </c>
      <c r="R44" s="286" t="s">
        <v>82</v>
      </c>
      <c r="S44" s="3"/>
      <c r="T44" s="3"/>
      <c r="U44" s="3"/>
      <c r="V44" s="123" t="s">
        <v>80</v>
      </c>
      <c r="W44" s="285" t="s">
        <v>81</v>
      </c>
      <c r="X44" s="286" t="s">
        <v>82</v>
      </c>
      <c r="Y44" s="3"/>
      <c r="Z44" s="3"/>
      <c r="AA44" s="3"/>
      <c r="AB44" s="3"/>
      <c r="AC44" s="3"/>
      <c r="AD44" s="3"/>
    </row>
    <row r="45" spans="1:30" ht="15.75" thickBot="1" x14ac:dyDescent="0.3">
      <c r="A45" s="3"/>
      <c r="B45" s="281"/>
      <c r="C45" s="642"/>
      <c r="D45" s="288">
        <f>SUM(E45:F45)</f>
        <v>642.1</v>
      </c>
      <c r="E45" s="289">
        <v>642.1</v>
      </c>
      <c r="F45" s="290">
        <v>0</v>
      </c>
      <c r="G45" s="284"/>
      <c r="H45" s="284"/>
      <c r="I45" s="287"/>
      <c r="J45" s="288">
        <f>SUM(K45:L45)</f>
        <v>642.1</v>
      </c>
      <c r="K45" s="289">
        <v>642.1</v>
      </c>
      <c r="L45" s="290">
        <v>0</v>
      </c>
      <c r="M45" s="291"/>
      <c r="N45" s="291"/>
      <c r="O45" s="291"/>
      <c r="P45" s="537">
        <f>SUM(Q45:R45)</f>
        <v>321</v>
      </c>
      <c r="Q45" s="289">
        <v>321</v>
      </c>
      <c r="R45" s="290">
        <v>0</v>
      </c>
      <c r="S45" s="3"/>
      <c r="T45" s="3"/>
      <c r="U45" s="3"/>
      <c r="V45" s="288">
        <f>SUM(W45:X45)</f>
        <v>642.1</v>
      </c>
      <c r="W45" s="538">
        <v>642.1</v>
      </c>
      <c r="X45" s="290">
        <v>0</v>
      </c>
      <c r="Y45" s="3"/>
      <c r="Z45" s="3"/>
      <c r="AA45" s="3"/>
      <c r="AB45" s="3"/>
      <c r="AC45" s="3"/>
      <c r="AD45" s="3"/>
    </row>
    <row r="46" spans="1:30" ht="8.25" customHeight="1" thickBot="1" x14ac:dyDescent="0.3">
      <c r="A46" s="3"/>
      <c r="B46" s="281"/>
      <c r="C46" s="282"/>
      <c r="D46" s="291"/>
      <c r="E46" s="284"/>
      <c r="F46" s="284"/>
      <c r="G46" s="284"/>
      <c r="H46" s="284"/>
      <c r="I46" s="287"/>
      <c r="J46" s="284"/>
      <c r="K46" s="284"/>
      <c r="L46" s="284"/>
      <c r="M46" s="284"/>
      <c r="N46" s="284"/>
      <c r="O46" s="287"/>
      <c r="P46" s="287"/>
      <c r="Q46" s="287"/>
      <c r="R46" s="287"/>
      <c r="S46" s="287"/>
      <c r="T46" s="287"/>
      <c r="U46" s="287"/>
      <c r="V46" s="3"/>
      <c r="W46" s="3"/>
      <c r="X46" s="3"/>
      <c r="Y46" s="3"/>
      <c r="Z46" s="3"/>
      <c r="AA46" s="3"/>
      <c r="AB46" s="3"/>
      <c r="AC46" s="3"/>
      <c r="AD46" s="3"/>
    </row>
    <row r="47" spans="1:30" ht="37.5" customHeight="1" thickBot="1" x14ac:dyDescent="0.3">
      <c r="A47" s="3"/>
      <c r="B47" s="281"/>
      <c r="C47" s="641" t="s">
        <v>83</v>
      </c>
      <c r="D47" s="131" t="s">
        <v>84</v>
      </c>
      <c r="E47" s="292" t="s">
        <v>85</v>
      </c>
      <c r="F47" s="284"/>
      <c r="G47" s="284"/>
      <c r="H47" s="284"/>
      <c r="I47" s="287"/>
      <c r="J47" s="131" t="s">
        <v>84</v>
      </c>
      <c r="K47" s="292" t="s">
        <v>85</v>
      </c>
      <c r="L47" s="293"/>
      <c r="M47" s="293"/>
      <c r="N47" s="3"/>
      <c r="O47" s="3"/>
      <c r="P47" s="131" t="s">
        <v>84</v>
      </c>
      <c r="Q47" s="292" t="s">
        <v>85</v>
      </c>
      <c r="R47" s="3"/>
      <c r="S47" s="3"/>
      <c r="T47" s="3"/>
      <c r="U47" s="3"/>
      <c r="V47" s="131" t="s">
        <v>84</v>
      </c>
      <c r="W47" s="292" t="s">
        <v>85</v>
      </c>
      <c r="X47" s="3"/>
      <c r="Y47" s="3"/>
      <c r="Z47" s="3"/>
      <c r="AA47" s="3"/>
      <c r="AB47" s="3"/>
      <c r="AC47" s="3"/>
      <c r="AD47" s="3"/>
    </row>
    <row r="48" spans="1:30" ht="15.75" thickBot="1" x14ac:dyDescent="0.3">
      <c r="A48" s="3"/>
      <c r="B48" s="294"/>
      <c r="C48" s="643"/>
      <c r="D48" s="288">
        <v>0</v>
      </c>
      <c r="E48" s="295">
        <v>0</v>
      </c>
      <c r="F48" s="284"/>
      <c r="G48" s="284"/>
      <c r="H48" s="284"/>
      <c r="I48" s="287"/>
      <c r="J48" s="288">
        <v>0</v>
      </c>
      <c r="K48" s="295">
        <v>0</v>
      </c>
      <c r="L48" s="296"/>
      <c r="M48" s="296"/>
      <c r="N48" s="3"/>
      <c r="O48" s="3"/>
      <c r="P48" s="288">
        <v>0</v>
      </c>
      <c r="Q48" s="295">
        <v>0</v>
      </c>
      <c r="R48" s="3"/>
      <c r="S48" s="3"/>
      <c r="T48" s="3"/>
      <c r="U48" s="3"/>
      <c r="V48" s="288">
        <v>0</v>
      </c>
      <c r="W48" s="295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294"/>
      <c r="C49" s="282"/>
      <c r="D49" s="284"/>
      <c r="E49" s="284"/>
      <c r="F49" s="284"/>
      <c r="G49" s="284"/>
      <c r="H49" s="284"/>
      <c r="I49" s="287"/>
      <c r="J49" s="284"/>
      <c r="K49" s="284"/>
      <c r="L49" s="284"/>
      <c r="M49" s="284"/>
      <c r="N49" s="284"/>
      <c r="O49" s="287"/>
      <c r="P49" s="287"/>
      <c r="Q49" s="287"/>
      <c r="R49" s="287"/>
      <c r="S49" s="287"/>
      <c r="T49" s="287"/>
      <c r="U49" s="287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3"/>
      <c r="B50" s="294"/>
      <c r="C50" s="539" t="s">
        <v>86</v>
      </c>
      <c r="D50" s="540" t="s">
        <v>87</v>
      </c>
      <c r="E50" s="540" t="s">
        <v>88</v>
      </c>
      <c r="F50" s="540" t="s">
        <v>89</v>
      </c>
      <c r="G50" s="540" t="s">
        <v>90</v>
      </c>
      <c r="H50" s="541"/>
      <c r="I50" s="175"/>
      <c r="J50" s="540" t="s">
        <v>87</v>
      </c>
      <c r="K50" s="540" t="s">
        <v>88</v>
      </c>
      <c r="L50" s="540" t="s">
        <v>89</v>
      </c>
      <c r="M50" s="540" t="s">
        <v>91</v>
      </c>
      <c r="N50" s="175"/>
      <c r="O50" s="175"/>
      <c r="P50" s="540" t="s">
        <v>87</v>
      </c>
      <c r="Q50" s="540" t="s">
        <v>88</v>
      </c>
      <c r="R50" s="540" t="s">
        <v>89</v>
      </c>
      <c r="S50" s="540" t="s">
        <v>91</v>
      </c>
      <c r="T50" s="175"/>
      <c r="U50" s="175"/>
      <c r="V50" s="540" t="s">
        <v>92</v>
      </c>
      <c r="W50" s="540" t="s">
        <v>88</v>
      </c>
      <c r="X50" s="540" t="s">
        <v>89</v>
      </c>
      <c r="Y50" s="540" t="s">
        <v>91</v>
      </c>
      <c r="Z50" s="175"/>
      <c r="AA50" s="175"/>
      <c r="AB50" s="175"/>
      <c r="AC50" s="175"/>
      <c r="AD50" s="3"/>
    </row>
    <row r="51" spans="1:30" x14ac:dyDescent="0.25">
      <c r="A51" s="3"/>
      <c r="B51" s="294"/>
      <c r="C51" s="302" t="s">
        <v>93</v>
      </c>
      <c r="D51" s="454">
        <f>SUM(D52:D55)</f>
        <v>6696.3</v>
      </c>
      <c r="E51" s="454">
        <f t="shared" ref="E51:F51" si="27">SUM(E52:E55)</f>
        <v>5243.7000000000007</v>
      </c>
      <c r="F51" s="454">
        <f t="shared" si="27"/>
        <v>5869.4</v>
      </c>
      <c r="G51" s="455">
        <f>D51+E51-F51</f>
        <v>6070.6</v>
      </c>
      <c r="H51" s="541"/>
      <c r="I51" s="175"/>
      <c r="J51" s="455">
        <f>SUM(J52:J55)</f>
        <v>2819.8</v>
      </c>
      <c r="K51" s="455">
        <f>SUM(K52:K55)</f>
        <v>1671</v>
      </c>
      <c r="L51" s="455">
        <f t="shared" ref="L51" si="28">SUM(L52:L55)</f>
        <v>805</v>
      </c>
      <c r="M51" s="455">
        <f>SUM(M52:M55)</f>
        <v>3685.8</v>
      </c>
      <c r="N51" s="175"/>
      <c r="O51" s="175"/>
      <c r="P51" s="454">
        <f>SUM(P52:P55)</f>
        <v>6070.6</v>
      </c>
      <c r="Q51" s="454">
        <f t="shared" ref="Q51:R51" si="29">SUM(Q52:Q55)</f>
        <v>876</v>
      </c>
      <c r="R51" s="454">
        <f t="shared" si="29"/>
        <v>3543</v>
      </c>
      <c r="S51" s="454">
        <f>SUM(S52:S55)</f>
        <v>3403.6000000000004</v>
      </c>
      <c r="T51" s="175"/>
      <c r="U51" s="175"/>
      <c r="V51" s="454">
        <f>SUM(V52:V55)</f>
        <v>3075</v>
      </c>
      <c r="W51" s="454">
        <f t="shared" ref="W51:X51" si="30">SUM(W52:W55)</f>
        <v>2103.3000000000002</v>
      </c>
      <c r="X51" s="454">
        <f t="shared" si="30"/>
        <v>1100</v>
      </c>
      <c r="Y51" s="455">
        <f>V51+W51-X51</f>
        <v>4078.3</v>
      </c>
      <c r="Z51" s="175"/>
      <c r="AA51" s="175"/>
      <c r="AB51" s="175"/>
      <c r="AC51" s="175"/>
      <c r="AD51" s="3"/>
    </row>
    <row r="52" spans="1:30" x14ac:dyDescent="0.25">
      <c r="A52" s="3"/>
      <c r="B52" s="294"/>
      <c r="C52" s="302" t="s">
        <v>94</v>
      </c>
      <c r="D52" s="454">
        <v>5661.6</v>
      </c>
      <c r="E52" s="454">
        <v>3912.8</v>
      </c>
      <c r="F52" s="454">
        <v>4440.8999999999996</v>
      </c>
      <c r="G52" s="455">
        <f>D52+E52-F52</f>
        <v>5133.5000000000018</v>
      </c>
      <c r="H52" s="541"/>
      <c r="I52" s="175"/>
      <c r="J52" s="455">
        <v>1539.8</v>
      </c>
      <c r="K52" s="454">
        <v>300</v>
      </c>
      <c r="L52" s="454">
        <v>400</v>
      </c>
      <c r="M52" s="455">
        <f>J52+K52-L52</f>
        <v>1439.8</v>
      </c>
      <c r="N52" s="175"/>
      <c r="O52" s="175"/>
      <c r="P52" s="454">
        <v>5133.5</v>
      </c>
      <c r="Q52" s="454">
        <v>227.3</v>
      </c>
      <c r="R52" s="454">
        <v>3109.5</v>
      </c>
      <c r="S52" s="455">
        <f>P52+Q52-R52</f>
        <v>2251.3000000000002</v>
      </c>
      <c r="T52" s="175"/>
      <c r="U52" s="175"/>
      <c r="V52" s="454">
        <v>1200</v>
      </c>
      <c r="W52" s="454">
        <f>630+48</f>
        <v>678</v>
      </c>
      <c r="X52" s="454">
        <f>667+29</f>
        <v>696</v>
      </c>
      <c r="Y52" s="455">
        <f>V52+W52-X52</f>
        <v>1182</v>
      </c>
      <c r="Z52" s="175"/>
      <c r="AA52" s="175"/>
      <c r="AB52" s="175"/>
      <c r="AC52" s="175"/>
      <c r="AD52" s="3"/>
    </row>
    <row r="53" spans="1:30" x14ac:dyDescent="0.25">
      <c r="A53" s="3"/>
      <c r="B53" s="294"/>
      <c r="C53" s="302" t="s">
        <v>95</v>
      </c>
      <c r="D53" s="454">
        <v>539.1</v>
      </c>
      <c r="E53" s="454">
        <v>951.1</v>
      </c>
      <c r="F53" s="454">
        <v>846.7</v>
      </c>
      <c r="G53" s="455">
        <f t="shared" ref="G53:G55" si="31">D53+E53-F53</f>
        <v>643.5</v>
      </c>
      <c r="H53" s="541"/>
      <c r="I53" s="175"/>
      <c r="J53" s="455">
        <v>1000</v>
      </c>
      <c r="K53" s="454">
        <v>996</v>
      </c>
      <c r="L53" s="454">
        <v>100</v>
      </c>
      <c r="M53" s="455">
        <f t="shared" ref="M53:M55" si="32">J53+K53-L53</f>
        <v>1896</v>
      </c>
      <c r="N53" s="175"/>
      <c r="O53" s="175"/>
      <c r="P53" s="454">
        <v>643.5</v>
      </c>
      <c r="Q53" s="454">
        <v>461.4</v>
      </c>
      <c r="R53" s="454">
        <v>321</v>
      </c>
      <c r="S53" s="455">
        <f t="shared" ref="S53:S55" si="33">P53+Q53-R53</f>
        <v>783.90000000000009</v>
      </c>
      <c r="T53" s="175"/>
      <c r="U53" s="175"/>
      <c r="V53" s="454">
        <v>1566</v>
      </c>
      <c r="W53" s="454">
        <v>948</v>
      </c>
      <c r="X53" s="454">
        <v>0</v>
      </c>
      <c r="Y53" s="455">
        <f t="shared" ref="Y53:Y55" si="34">V53+W53-X53</f>
        <v>2514</v>
      </c>
      <c r="Z53" s="175"/>
      <c r="AA53" s="175"/>
      <c r="AB53" s="175"/>
      <c r="AC53" s="175"/>
      <c r="AD53" s="3"/>
    </row>
    <row r="54" spans="1:30" x14ac:dyDescent="0.25">
      <c r="A54" s="3"/>
      <c r="B54" s="294"/>
      <c r="C54" s="302" t="s">
        <v>96</v>
      </c>
      <c r="D54" s="454">
        <v>177.7</v>
      </c>
      <c r="E54" s="454">
        <v>27.1</v>
      </c>
      <c r="F54" s="454">
        <v>1.7</v>
      </c>
      <c r="G54" s="455">
        <f t="shared" si="31"/>
        <v>203.1</v>
      </c>
      <c r="H54" s="541"/>
      <c r="I54" s="175"/>
      <c r="J54" s="455">
        <v>200</v>
      </c>
      <c r="K54" s="454">
        <v>25</v>
      </c>
      <c r="L54" s="454">
        <v>5</v>
      </c>
      <c r="M54" s="455">
        <f t="shared" si="32"/>
        <v>220</v>
      </c>
      <c r="N54" s="175"/>
      <c r="O54" s="175"/>
      <c r="P54" s="454">
        <v>203.1</v>
      </c>
      <c r="Q54" s="454">
        <v>5</v>
      </c>
      <c r="R54" s="454">
        <v>0</v>
      </c>
      <c r="S54" s="455">
        <f t="shared" si="33"/>
        <v>208.1</v>
      </c>
      <c r="T54" s="175"/>
      <c r="U54" s="175"/>
      <c r="V54" s="454">
        <v>208</v>
      </c>
      <c r="W54" s="454">
        <v>10</v>
      </c>
      <c r="X54" s="454">
        <v>6</v>
      </c>
      <c r="Y54" s="455">
        <f t="shared" si="34"/>
        <v>212</v>
      </c>
      <c r="Z54" s="175"/>
      <c r="AA54" s="175"/>
      <c r="AB54" s="175"/>
      <c r="AC54" s="175"/>
      <c r="AD54" s="3"/>
    </row>
    <row r="55" spans="1:30" x14ac:dyDescent="0.25">
      <c r="A55" s="3"/>
      <c r="B55" s="294"/>
      <c r="C55" s="302" t="s">
        <v>97</v>
      </c>
      <c r="D55" s="454">
        <v>317.89999999999998</v>
      </c>
      <c r="E55" s="454">
        <v>352.7</v>
      </c>
      <c r="F55" s="454">
        <v>580.1</v>
      </c>
      <c r="G55" s="455">
        <f t="shared" si="31"/>
        <v>90.499999999999886</v>
      </c>
      <c r="H55" s="541"/>
      <c r="I55" s="175"/>
      <c r="J55" s="455">
        <v>80</v>
      </c>
      <c r="K55" s="454">
        <v>350</v>
      </c>
      <c r="L55" s="454">
        <v>300</v>
      </c>
      <c r="M55" s="455">
        <f t="shared" si="32"/>
        <v>130</v>
      </c>
      <c r="N55" s="175"/>
      <c r="O55" s="175"/>
      <c r="P55" s="454">
        <v>90.5</v>
      </c>
      <c r="Q55" s="454">
        <v>182.3</v>
      </c>
      <c r="R55" s="454">
        <v>112.5</v>
      </c>
      <c r="S55" s="455">
        <f t="shared" si="33"/>
        <v>160.30000000000001</v>
      </c>
      <c r="T55" s="175"/>
      <c r="U55" s="175"/>
      <c r="V55" s="454">
        <v>101</v>
      </c>
      <c r="W55" s="454">
        <f>6.6+10.3+295.4+155</f>
        <v>467.29999999999995</v>
      </c>
      <c r="X55" s="454">
        <v>398</v>
      </c>
      <c r="Y55" s="455">
        <f t="shared" si="34"/>
        <v>170.29999999999995</v>
      </c>
      <c r="Z55" s="175"/>
      <c r="AA55" s="175"/>
      <c r="AB55" s="175"/>
      <c r="AC55" s="175"/>
      <c r="AD55" s="3"/>
    </row>
    <row r="56" spans="1:30" ht="10.5" customHeight="1" x14ac:dyDescent="0.25">
      <c r="A56" s="3"/>
      <c r="B56" s="294"/>
      <c r="C56" s="542"/>
      <c r="D56" s="541"/>
      <c r="E56" s="541"/>
      <c r="F56" s="541"/>
      <c r="G56" s="541"/>
      <c r="H56" s="541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3"/>
    </row>
    <row r="57" spans="1:30" x14ac:dyDescent="0.25">
      <c r="A57" s="3"/>
      <c r="B57" s="294"/>
      <c r="C57" s="539" t="s">
        <v>98</v>
      </c>
      <c r="D57" s="540" t="s">
        <v>99</v>
      </c>
      <c r="E57" s="540" t="s">
        <v>100</v>
      </c>
      <c r="F57" s="541"/>
      <c r="G57" s="541"/>
      <c r="H57" s="541"/>
      <c r="I57" s="543"/>
      <c r="J57" s="540" t="s">
        <v>101</v>
      </c>
      <c r="K57" s="541"/>
      <c r="L57" s="541"/>
      <c r="M57" s="541"/>
      <c r="N57" s="541"/>
      <c r="O57" s="543"/>
      <c r="P57" s="540" t="s">
        <v>102</v>
      </c>
      <c r="Q57" s="543"/>
      <c r="R57" s="543"/>
      <c r="S57" s="175"/>
      <c r="T57" s="175"/>
      <c r="U57" s="175"/>
      <c r="V57" s="759" t="s">
        <v>98</v>
      </c>
      <c r="W57" s="759"/>
      <c r="X57" s="759"/>
      <c r="Y57" s="540" t="s">
        <v>101</v>
      </c>
      <c r="Z57" s="175"/>
      <c r="AA57" s="175"/>
      <c r="AB57" s="175"/>
      <c r="AC57" s="175"/>
      <c r="AD57" s="3"/>
    </row>
    <row r="58" spans="1:30" x14ac:dyDescent="0.25">
      <c r="A58" s="3"/>
      <c r="B58" s="294"/>
      <c r="C58" s="544" t="s">
        <v>128</v>
      </c>
      <c r="D58" s="545">
        <v>68.8</v>
      </c>
      <c r="E58" s="545">
        <v>70.8</v>
      </c>
      <c r="F58" s="541"/>
      <c r="G58" s="541"/>
      <c r="H58" s="541"/>
      <c r="I58" s="543"/>
      <c r="J58" s="546">
        <v>70.7</v>
      </c>
      <c r="K58" s="541"/>
      <c r="L58" s="541"/>
      <c r="M58" s="541"/>
      <c r="N58" s="541"/>
      <c r="O58" s="543"/>
      <c r="P58" s="546">
        <v>73.41</v>
      </c>
      <c r="Q58" s="543"/>
      <c r="R58" s="543"/>
      <c r="S58" s="175"/>
      <c r="T58" s="175"/>
      <c r="U58" s="175"/>
      <c r="V58" s="747" t="s">
        <v>128</v>
      </c>
      <c r="W58" s="747"/>
      <c r="X58" s="747"/>
      <c r="Y58" s="546">
        <v>72.5</v>
      </c>
      <c r="Z58" s="175"/>
      <c r="AA58" s="175"/>
      <c r="AB58" s="175"/>
      <c r="AC58" s="175"/>
      <c r="AD58" s="3"/>
    </row>
    <row r="59" spans="1:30" x14ac:dyDescent="0.25">
      <c r="A59" s="3"/>
      <c r="B59" s="294"/>
      <c r="C59" s="547"/>
      <c r="D59" s="548"/>
      <c r="E59" s="548"/>
      <c r="F59" s="541"/>
      <c r="G59" s="541"/>
      <c r="H59" s="541"/>
      <c r="I59" s="543"/>
      <c r="J59" s="549"/>
      <c r="K59" s="541"/>
      <c r="L59" s="541"/>
      <c r="M59" s="541"/>
      <c r="N59" s="541"/>
      <c r="O59" s="543"/>
      <c r="P59" s="549"/>
      <c r="Q59" s="543"/>
      <c r="R59" s="543"/>
      <c r="S59" s="175"/>
      <c r="T59" s="175"/>
      <c r="U59" s="175"/>
      <c r="V59" s="747" t="s">
        <v>129</v>
      </c>
      <c r="W59" s="747"/>
      <c r="X59" s="747"/>
      <c r="Y59" s="546">
        <v>19.2</v>
      </c>
      <c r="Z59" s="175"/>
      <c r="AA59" s="175"/>
      <c r="AB59" s="175"/>
      <c r="AC59" s="175"/>
      <c r="AD59" s="3"/>
    </row>
    <row r="60" spans="1:30" s="3" customFormat="1" x14ac:dyDescent="0.25">
      <c r="B60" s="294"/>
      <c r="C60" s="542"/>
      <c r="D60" s="549"/>
      <c r="E60" s="549"/>
      <c r="F60" s="541"/>
      <c r="G60" s="541"/>
      <c r="H60" s="541"/>
      <c r="I60" s="543"/>
      <c r="J60" s="549"/>
      <c r="K60" s="541"/>
      <c r="L60" s="541"/>
      <c r="M60" s="541"/>
      <c r="N60" s="541"/>
      <c r="O60" s="543"/>
      <c r="P60" s="549"/>
      <c r="Q60" s="543"/>
      <c r="R60" s="543"/>
      <c r="S60" s="543"/>
      <c r="T60" s="543"/>
      <c r="U60" s="543"/>
      <c r="V60" s="549"/>
      <c r="W60" s="175"/>
      <c r="X60" s="175"/>
      <c r="Y60" s="175"/>
      <c r="Z60" s="175"/>
      <c r="AA60" s="175"/>
      <c r="AB60" s="175"/>
      <c r="AC60" s="175"/>
    </row>
    <row r="61" spans="1:30" x14ac:dyDescent="0.25">
      <c r="A61" s="3"/>
      <c r="B61" s="294"/>
      <c r="C61" s="542"/>
      <c r="D61" s="748"/>
      <c r="E61" s="748"/>
      <c r="F61" s="541"/>
      <c r="G61" s="541"/>
      <c r="H61" s="541"/>
      <c r="I61" s="543"/>
      <c r="J61" s="550"/>
      <c r="K61" s="541"/>
      <c r="L61" s="541"/>
      <c r="M61" s="541"/>
      <c r="N61" s="541"/>
      <c r="O61" s="543"/>
      <c r="P61" s="550"/>
      <c r="Q61" s="543"/>
      <c r="R61" s="543"/>
      <c r="S61" s="543"/>
      <c r="T61" s="543"/>
      <c r="U61" s="543"/>
      <c r="V61" s="749" t="s">
        <v>130</v>
      </c>
      <c r="W61" s="750"/>
      <c r="X61" s="751"/>
      <c r="Y61" s="546">
        <v>6201.4</v>
      </c>
      <c r="Z61" s="175"/>
      <c r="AA61" s="175"/>
      <c r="AB61" s="175"/>
      <c r="AC61" s="175"/>
      <c r="AD61" s="551">
        <v>6046.4</v>
      </c>
    </row>
    <row r="62" spans="1:30" x14ac:dyDescent="0.25">
      <c r="A62" s="3"/>
      <c r="B62" s="294"/>
      <c r="C62" s="542"/>
      <c r="D62" s="550"/>
      <c r="E62" s="550"/>
      <c r="F62" s="541"/>
      <c r="G62" s="541"/>
      <c r="H62" s="541"/>
      <c r="I62" s="543"/>
      <c r="J62" s="550"/>
      <c r="K62" s="541"/>
      <c r="L62" s="541"/>
      <c r="M62" s="541"/>
      <c r="N62" s="541"/>
      <c r="O62" s="543"/>
      <c r="P62" s="550"/>
      <c r="Q62" s="543"/>
      <c r="R62" s="543"/>
      <c r="S62" s="543"/>
      <c r="T62" s="543"/>
      <c r="U62" s="543"/>
      <c r="V62" s="752" t="s">
        <v>274</v>
      </c>
      <c r="W62" s="752"/>
      <c r="X62" s="752"/>
      <c r="Y62" s="302">
        <v>1030.8</v>
      </c>
      <c r="Z62" s="175"/>
      <c r="AA62" s="175"/>
      <c r="AB62" s="175"/>
      <c r="AC62" s="175"/>
      <c r="AD62" s="552"/>
    </row>
    <row r="63" spans="1:30" x14ac:dyDescent="0.25">
      <c r="A63" s="3"/>
      <c r="B63" s="294"/>
      <c r="C63" s="542"/>
      <c r="D63" s="550"/>
      <c r="E63" s="550"/>
      <c r="F63" s="541"/>
      <c r="G63" s="541"/>
      <c r="H63" s="541"/>
      <c r="I63" s="543"/>
      <c r="J63" s="550"/>
      <c r="K63" s="541"/>
      <c r="L63" s="541"/>
      <c r="M63" s="541"/>
      <c r="N63" s="541"/>
      <c r="O63" s="543"/>
      <c r="P63" s="550"/>
      <c r="Q63" s="543"/>
      <c r="R63" s="543"/>
      <c r="S63" s="543"/>
      <c r="T63" s="543"/>
      <c r="U63" s="543"/>
      <c r="V63" s="753" t="s">
        <v>275</v>
      </c>
      <c r="W63" s="753"/>
      <c r="X63" s="753"/>
      <c r="Y63" s="546">
        <v>130.30000000000001</v>
      </c>
      <c r="Z63" s="175"/>
      <c r="AA63" s="175"/>
      <c r="AB63" s="175"/>
      <c r="AC63" s="175"/>
      <c r="AD63" s="552"/>
    </row>
    <row r="64" spans="1:30" x14ac:dyDescent="0.25">
      <c r="A64" s="3"/>
      <c r="B64" s="294"/>
      <c r="C64" s="542"/>
      <c r="D64" s="550"/>
      <c r="E64" s="550"/>
      <c r="F64" s="541"/>
      <c r="G64" s="541"/>
      <c r="H64" s="541"/>
      <c r="I64" s="543"/>
      <c r="J64" s="550"/>
      <c r="K64" s="541"/>
      <c r="L64" s="541"/>
      <c r="M64" s="541"/>
      <c r="N64" s="541"/>
      <c r="O64" s="543"/>
      <c r="P64" s="550"/>
      <c r="Q64" s="543"/>
      <c r="R64" s="543"/>
      <c r="S64" s="543"/>
      <c r="T64" s="543"/>
      <c r="U64" s="543"/>
      <c r="V64" s="549"/>
      <c r="W64" s="175"/>
      <c r="X64" s="175"/>
      <c r="Y64" s="541">
        <f>SUM(Y61:Y63)</f>
        <v>7362.5</v>
      </c>
      <c r="Z64" s="175"/>
      <c r="AA64" s="175"/>
      <c r="AB64" s="175"/>
      <c r="AC64" s="175"/>
      <c r="AD64" s="552"/>
    </row>
    <row r="65" spans="1:30" s="3" customFormat="1" x14ac:dyDescent="0.25">
      <c r="B65" s="294"/>
      <c r="C65" s="542"/>
      <c r="D65" s="550"/>
      <c r="E65" s="550"/>
      <c r="F65" s="541"/>
      <c r="G65" s="541"/>
      <c r="H65" s="541"/>
      <c r="I65" s="543"/>
      <c r="J65" s="550"/>
      <c r="K65" s="541"/>
      <c r="L65" s="541"/>
      <c r="M65" s="541"/>
      <c r="N65" s="541"/>
      <c r="O65" s="543"/>
      <c r="P65" s="550"/>
      <c r="Q65" s="543"/>
      <c r="R65" s="543"/>
      <c r="S65" s="543"/>
      <c r="T65" s="543"/>
      <c r="U65" s="543"/>
      <c r="V65" s="549"/>
      <c r="W65" s="175"/>
      <c r="X65" s="175"/>
      <c r="Y65" s="175"/>
      <c r="Z65" s="175"/>
      <c r="AA65" s="175"/>
      <c r="AB65" s="175"/>
      <c r="AC65" s="175"/>
    </row>
    <row r="66" spans="1:30" x14ac:dyDescent="0.25">
      <c r="A66" s="3"/>
      <c r="B66" s="294"/>
      <c r="C66" s="175"/>
      <c r="D66" s="175"/>
      <c r="E66" s="175"/>
      <c r="F66" s="553"/>
      <c r="G66" s="541"/>
      <c r="H66" s="541"/>
      <c r="I66" s="543"/>
      <c r="J66" s="550"/>
      <c r="K66" s="550"/>
      <c r="L66" s="175"/>
      <c r="M66" s="554"/>
      <c r="N66" s="175"/>
      <c r="O66" s="175"/>
      <c r="P66" s="175"/>
      <c r="Q66" s="553"/>
      <c r="R66" s="175"/>
      <c r="S66" s="175"/>
      <c r="T66" s="175"/>
      <c r="U66" s="754" t="s">
        <v>131</v>
      </c>
      <c r="V66" s="754"/>
      <c r="W66" s="754"/>
      <c r="X66" s="754"/>
      <c r="Y66" s="555" t="s">
        <v>132</v>
      </c>
      <c r="Z66" s="175"/>
      <c r="AA66" s="175" t="s">
        <v>276</v>
      </c>
      <c r="AB66" s="175"/>
      <c r="AC66" s="175"/>
    </row>
    <row r="67" spans="1:30" x14ac:dyDescent="0.25">
      <c r="A67" s="3"/>
      <c r="B67" s="294"/>
      <c r="C67" s="175"/>
      <c r="D67" s="175"/>
      <c r="E67" s="175"/>
      <c r="F67" s="541"/>
      <c r="G67" s="541"/>
      <c r="H67" s="541"/>
      <c r="I67" s="543"/>
      <c r="J67" s="550"/>
      <c r="K67" s="550"/>
      <c r="L67" s="175"/>
      <c r="M67" s="554"/>
      <c r="N67" s="175"/>
      <c r="O67" s="175"/>
      <c r="P67" s="175"/>
      <c r="Q67" s="541"/>
      <c r="R67" s="175"/>
      <c r="S67" s="175"/>
      <c r="T67" s="175"/>
      <c r="U67" s="747" t="s">
        <v>134</v>
      </c>
      <c r="V67" s="747"/>
      <c r="W67" s="747"/>
      <c r="X67" s="747"/>
      <c r="Y67" s="556">
        <f>6046.4</f>
        <v>6046.4</v>
      </c>
      <c r="Z67" s="175"/>
      <c r="AA67" s="557" t="s">
        <v>135</v>
      </c>
      <c r="AB67" s="558">
        <v>284.89999999999998</v>
      </c>
      <c r="AC67" s="175"/>
    </row>
    <row r="68" spans="1:30" x14ac:dyDescent="0.25">
      <c r="A68" s="3"/>
      <c r="B68" s="294"/>
      <c r="C68" s="175"/>
      <c r="D68" s="175"/>
      <c r="E68" s="175"/>
      <c r="F68" s="541"/>
      <c r="G68" s="541"/>
      <c r="H68" s="541"/>
      <c r="I68" s="543"/>
      <c r="J68" s="550"/>
      <c r="K68" s="550"/>
      <c r="L68" s="175"/>
      <c r="M68" s="554"/>
      <c r="N68" s="175"/>
      <c r="O68" s="175"/>
      <c r="P68" s="175"/>
      <c r="Q68" s="541"/>
      <c r="R68" s="175"/>
      <c r="S68" s="175"/>
      <c r="T68" s="175"/>
      <c r="U68" s="747" t="s">
        <v>136</v>
      </c>
      <c r="V68" s="747"/>
      <c r="W68" s="747"/>
      <c r="X68" s="747"/>
      <c r="Y68" s="556">
        <v>2294.4</v>
      </c>
      <c r="Z68" s="175"/>
      <c r="AA68" s="557" t="s">
        <v>137</v>
      </c>
      <c r="AB68" s="558">
        <v>80.400000000000006</v>
      </c>
      <c r="AC68" s="175"/>
    </row>
    <row r="69" spans="1:30" x14ac:dyDescent="0.25">
      <c r="A69" s="3"/>
      <c r="B69" s="294"/>
      <c r="C69" s="175"/>
      <c r="D69" s="175"/>
      <c r="E69" s="175"/>
      <c r="F69" s="541"/>
      <c r="G69" s="541"/>
      <c r="H69" s="541"/>
      <c r="I69" s="543"/>
      <c r="J69" s="550"/>
      <c r="K69" s="550"/>
      <c r="L69" s="175"/>
      <c r="M69" s="554"/>
      <c r="N69" s="175"/>
      <c r="O69" s="175"/>
      <c r="P69" s="175"/>
      <c r="Q69" s="541"/>
      <c r="R69" s="175"/>
      <c r="S69" s="175"/>
      <c r="T69" s="175"/>
      <c r="U69" s="747" t="s">
        <v>230</v>
      </c>
      <c r="V69" s="747"/>
      <c r="W69" s="747"/>
      <c r="X69" s="747"/>
      <c r="Y69" s="556">
        <v>155</v>
      </c>
      <c r="Z69" s="175"/>
      <c r="AA69" s="557" t="s">
        <v>139</v>
      </c>
      <c r="AB69" s="558">
        <f>1005.2</f>
        <v>1005.2</v>
      </c>
      <c r="AC69" s="175"/>
    </row>
    <row r="70" spans="1:30" x14ac:dyDescent="0.25">
      <c r="A70" s="3"/>
      <c r="B70" s="3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554"/>
      <c r="N70" s="175"/>
      <c r="O70" s="175"/>
      <c r="P70" s="175"/>
      <c r="Q70" s="175"/>
      <c r="R70" s="175"/>
      <c r="S70" s="175"/>
      <c r="T70" s="175"/>
      <c r="U70" s="747" t="s">
        <v>140</v>
      </c>
      <c r="V70" s="747"/>
      <c r="W70" s="747"/>
      <c r="X70" s="747"/>
      <c r="Y70" s="556">
        <v>60.5</v>
      </c>
      <c r="Z70" s="175"/>
      <c r="AA70" s="175"/>
      <c r="AB70" s="175"/>
      <c r="AC70" s="175"/>
    </row>
    <row r="71" spans="1:30" x14ac:dyDescent="0.25">
      <c r="A71" s="3"/>
      <c r="B71" s="294"/>
      <c r="C71" s="175"/>
      <c r="D71" s="175"/>
      <c r="E71" s="175"/>
      <c r="F71" s="541"/>
      <c r="G71" s="541"/>
      <c r="H71" s="541"/>
      <c r="I71" s="543"/>
      <c r="J71" s="559"/>
      <c r="K71" s="559"/>
      <c r="L71" s="175"/>
      <c r="M71" s="554"/>
      <c r="N71" s="175"/>
      <c r="O71" s="175"/>
      <c r="P71" s="175"/>
      <c r="Q71" s="541"/>
      <c r="R71" s="175"/>
      <c r="S71" s="175"/>
      <c r="T71" s="175"/>
      <c r="U71" s="747" t="s">
        <v>141</v>
      </c>
      <c r="V71" s="747"/>
      <c r="W71" s="747"/>
      <c r="X71" s="747"/>
      <c r="Y71" s="560">
        <v>690</v>
      </c>
      <c r="Z71" s="175"/>
      <c r="AA71" s="175"/>
      <c r="AB71" s="175"/>
      <c r="AC71" s="175"/>
    </row>
    <row r="72" spans="1:30" x14ac:dyDescent="0.25">
      <c r="A72" s="3"/>
      <c r="B72" s="294"/>
      <c r="C72" s="175"/>
      <c r="D72" s="175"/>
      <c r="E72" s="175"/>
      <c r="F72" s="541"/>
      <c r="G72" s="541"/>
      <c r="H72" s="541"/>
      <c r="I72" s="543"/>
      <c r="J72" s="550"/>
      <c r="K72" s="550"/>
      <c r="L72" s="175"/>
      <c r="M72" s="554"/>
      <c r="N72" s="175"/>
      <c r="O72" s="175"/>
      <c r="P72" s="175"/>
      <c r="Q72" s="541"/>
      <c r="R72" s="175"/>
      <c r="S72" s="175"/>
      <c r="T72" s="175"/>
      <c r="U72" s="744" t="s">
        <v>142</v>
      </c>
      <c r="V72" s="744"/>
      <c r="W72" s="744"/>
      <c r="X72" s="744"/>
      <c r="Y72" s="556">
        <v>500</v>
      </c>
      <c r="Z72" s="175"/>
      <c r="AA72" s="175"/>
      <c r="AB72" s="175"/>
      <c r="AC72" s="175"/>
    </row>
    <row r="73" spans="1:30" x14ac:dyDescent="0.25">
      <c r="A73" s="3"/>
      <c r="B73" s="294"/>
      <c r="C73" s="175"/>
      <c r="D73" s="175"/>
      <c r="E73" s="175"/>
      <c r="F73" s="541"/>
      <c r="G73" s="541"/>
      <c r="H73" s="541"/>
      <c r="I73" s="543"/>
      <c r="J73" s="550"/>
      <c r="K73" s="550"/>
      <c r="L73" s="175"/>
      <c r="M73" s="554"/>
      <c r="N73" s="175"/>
      <c r="O73" s="175"/>
      <c r="P73" s="175"/>
      <c r="Q73" s="541"/>
      <c r="R73" s="175"/>
      <c r="S73" s="175"/>
      <c r="T73" s="175"/>
      <c r="U73" s="744" t="s">
        <v>143</v>
      </c>
      <c r="V73" s="744"/>
      <c r="W73" s="744"/>
      <c r="X73" s="744"/>
      <c r="Y73" s="556">
        <v>50</v>
      </c>
      <c r="Z73" s="175"/>
      <c r="AA73" s="175"/>
      <c r="AB73" s="175"/>
      <c r="AC73" s="175"/>
    </row>
    <row r="74" spans="1:30" x14ac:dyDescent="0.25">
      <c r="A74" s="3"/>
      <c r="B74" s="294"/>
      <c r="C74" s="175"/>
      <c r="D74" s="175"/>
      <c r="E74" s="175"/>
      <c r="F74" s="541"/>
      <c r="G74" s="541"/>
      <c r="H74" s="541"/>
      <c r="I74" s="543"/>
      <c r="J74" s="550"/>
      <c r="K74" s="550"/>
      <c r="L74" s="175"/>
      <c r="M74" s="554"/>
      <c r="N74" s="175"/>
      <c r="O74" s="175"/>
      <c r="P74" s="175"/>
      <c r="Q74" s="541"/>
      <c r="R74" s="175"/>
      <c r="S74" s="175"/>
      <c r="T74" s="175"/>
      <c r="U74" s="744" t="s">
        <v>144</v>
      </c>
      <c r="V74" s="744"/>
      <c r="W74" s="744"/>
      <c r="X74" s="744"/>
      <c r="Y74" s="556">
        <v>90</v>
      </c>
      <c r="Z74" s="175"/>
      <c r="AA74" s="175"/>
      <c r="AB74" s="175"/>
      <c r="AC74" s="175"/>
    </row>
    <row r="75" spans="1:30" x14ac:dyDescent="0.25">
      <c r="A75" s="3"/>
      <c r="B75" s="294"/>
      <c r="C75" s="175"/>
      <c r="D75" s="175"/>
      <c r="E75" s="175"/>
      <c r="F75" s="541"/>
      <c r="G75" s="541"/>
      <c r="H75" s="541"/>
      <c r="I75" s="543"/>
      <c r="J75" s="550"/>
      <c r="K75" s="550"/>
      <c r="L75" s="175"/>
      <c r="M75" s="554"/>
      <c r="N75" s="175"/>
      <c r="O75" s="175"/>
      <c r="P75" s="175"/>
      <c r="Q75" s="541"/>
      <c r="R75" s="175"/>
      <c r="S75" s="175"/>
      <c r="T75" s="175"/>
      <c r="U75" s="744" t="s">
        <v>145</v>
      </c>
      <c r="V75" s="744"/>
      <c r="W75" s="744"/>
      <c r="X75" s="744"/>
      <c r="Y75" s="556">
        <v>50</v>
      </c>
      <c r="Z75" s="175"/>
      <c r="AA75" s="175"/>
      <c r="AB75" s="175"/>
      <c r="AC75" s="175"/>
    </row>
    <row r="76" spans="1:30" x14ac:dyDescent="0.25">
      <c r="A76" s="3"/>
      <c r="B76" s="294"/>
      <c r="C76" s="478"/>
      <c r="D76" s="284"/>
      <c r="E76" s="284"/>
      <c r="F76" s="284"/>
      <c r="G76" s="284"/>
      <c r="H76" s="284"/>
      <c r="I76" s="287"/>
      <c r="J76" s="284"/>
      <c r="K76" s="284"/>
      <c r="L76" s="3"/>
      <c r="M76" s="172"/>
      <c r="N76" s="3"/>
      <c r="O76" s="3"/>
      <c r="P76" s="3"/>
      <c r="Q76" s="384"/>
      <c r="R76" s="3"/>
      <c r="S76" s="3"/>
      <c r="T76" s="3"/>
      <c r="U76" s="287"/>
      <c r="V76" s="287"/>
      <c r="W76" s="287"/>
      <c r="X76" s="284"/>
      <c r="Y76" s="284">
        <f>SUM(Y67:Y71)</f>
        <v>9246.2999999999993</v>
      </c>
      <c r="Z76" s="3"/>
      <c r="AA76" s="3"/>
      <c r="AB76" s="3"/>
      <c r="AC76" s="3"/>
    </row>
    <row r="77" spans="1:30" x14ac:dyDescent="0.25">
      <c r="A77" s="3"/>
      <c r="B77" s="294"/>
      <c r="C77" s="282"/>
      <c r="D77" s="284"/>
      <c r="E77" s="284"/>
      <c r="F77" s="284"/>
      <c r="G77" s="284"/>
      <c r="H77" s="284"/>
      <c r="I77" s="287"/>
      <c r="J77" s="284"/>
      <c r="K77" s="284"/>
      <c r="L77" s="284"/>
      <c r="M77" s="284"/>
      <c r="N77" s="284"/>
      <c r="O77" s="287"/>
      <c r="P77" s="284"/>
      <c r="Q77" s="284"/>
      <c r="R77" s="284"/>
      <c r="S77" s="287"/>
      <c r="T77" s="287"/>
      <c r="U77" s="287"/>
      <c r="V77" s="284"/>
      <c r="W77" s="284"/>
      <c r="X77" s="284"/>
      <c r="Y77" s="3"/>
      <c r="Z77" s="3"/>
      <c r="AA77" s="3"/>
      <c r="AB77" s="3"/>
      <c r="AC77" s="3"/>
      <c r="AD77" s="3"/>
    </row>
    <row r="78" spans="1:30" x14ac:dyDescent="0.25">
      <c r="A78" s="3"/>
      <c r="B78" s="304" t="s">
        <v>103</v>
      </c>
      <c r="C78" s="305"/>
      <c r="D78" s="644"/>
      <c r="E78" s="644"/>
      <c r="F78" s="644"/>
      <c r="G78" s="644"/>
      <c r="H78" s="644"/>
      <c r="I78" s="644"/>
      <c r="J78" s="644"/>
      <c r="K78" s="644"/>
      <c r="L78" s="644"/>
      <c r="M78" s="644"/>
      <c r="N78" s="644"/>
      <c r="O78" s="644"/>
      <c r="P78" s="644"/>
      <c r="Q78" s="644"/>
      <c r="R78" s="644"/>
      <c r="S78" s="644"/>
      <c r="T78" s="644"/>
      <c r="U78" s="644"/>
      <c r="V78" s="306"/>
      <c r="W78" s="306"/>
      <c r="X78" s="306"/>
      <c r="Y78" s="306"/>
      <c r="Z78" s="306"/>
      <c r="AA78" s="306"/>
      <c r="AB78" s="307"/>
      <c r="AC78" s="3"/>
      <c r="AD78" s="3"/>
    </row>
    <row r="79" spans="1:30" ht="15.75" x14ac:dyDescent="0.25">
      <c r="A79" s="3"/>
      <c r="B79" s="561"/>
      <c r="C79" s="562"/>
      <c r="D79" s="562"/>
      <c r="E79" s="562"/>
      <c r="F79" s="562"/>
      <c r="G79" s="562"/>
      <c r="H79" s="562"/>
      <c r="I79" s="562"/>
      <c r="J79" s="562"/>
      <c r="K79" s="562"/>
      <c r="L79" s="562"/>
      <c r="M79" s="562"/>
      <c r="N79" s="562"/>
      <c r="O79" s="562"/>
      <c r="P79" s="562"/>
      <c r="Q79" s="562"/>
      <c r="R79" s="562"/>
      <c r="S79" s="562"/>
      <c r="T79" s="562"/>
      <c r="U79" s="562"/>
      <c r="AB79" s="309"/>
      <c r="AC79" s="3"/>
      <c r="AD79" s="3"/>
    </row>
    <row r="80" spans="1:30" ht="18.75" x14ac:dyDescent="0.3">
      <c r="A80" s="3"/>
      <c r="B80" s="745" t="s">
        <v>277</v>
      </c>
      <c r="C80" s="746"/>
      <c r="D80" s="746"/>
      <c r="E80" s="746"/>
      <c r="F80" s="746"/>
      <c r="G80" s="746"/>
      <c r="H80" s="746"/>
      <c r="I80" s="746"/>
      <c r="J80" s="746"/>
      <c r="K80" s="746"/>
      <c r="L80" s="746"/>
      <c r="M80" s="746"/>
      <c r="N80" s="746"/>
      <c r="O80" s="746"/>
      <c r="P80" s="746"/>
      <c r="Q80" s="746"/>
      <c r="R80" s="746"/>
      <c r="S80" s="746"/>
      <c r="T80" s="746"/>
      <c r="U80" s="746"/>
      <c r="AB80" s="309"/>
      <c r="AC80" s="3"/>
      <c r="AD80" s="3"/>
    </row>
    <row r="81" spans="1:30" ht="18.75" x14ac:dyDescent="0.3">
      <c r="A81" s="3"/>
      <c r="B81" s="745"/>
      <c r="C81" s="746"/>
      <c r="D81" s="746"/>
      <c r="E81" s="746"/>
      <c r="F81" s="746"/>
      <c r="G81" s="746"/>
      <c r="H81" s="746"/>
      <c r="I81" s="746"/>
      <c r="J81" s="746"/>
      <c r="K81" s="746"/>
      <c r="L81" s="746"/>
      <c r="M81" s="746"/>
      <c r="N81" s="746"/>
      <c r="O81" s="746"/>
      <c r="P81" s="746"/>
      <c r="Q81" s="746"/>
      <c r="R81" s="746"/>
      <c r="S81" s="746"/>
      <c r="T81" s="746"/>
      <c r="U81" s="746"/>
      <c r="AB81" s="309"/>
      <c r="AC81" s="3"/>
      <c r="AD81" s="3"/>
    </row>
    <row r="82" spans="1:30" ht="18.75" x14ac:dyDescent="0.3">
      <c r="A82" s="3"/>
      <c r="B82" s="563" t="s">
        <v>278</v>
      </c>
      <c r="C82" s="564"/>
      <c r="D82" s="564"/>
      <c r="E82" s="564"/>
      <c r="F82" s="564"/>
      <c r="G82" s="564"/>
      <c r="H82" s="564"/>
      <c r="I82" s="564"/>
      <c r="J82" s="564"/>
      <c r="K82" s="564"/>
      <c r="L82" s="564"/>
      <c r="M82" s="564"/>
      <c r="N82" s="564"/>
      <c r="O82" s="564"/>
      <c r="P82" s="564"/>
      <c r="Q82" s="564"/>
      <c r="R82" s="564"/>
      <c r="S82" s="564"/>
      <c r="T82" s="564"/>
      <c r="U82" s="564"/>
      <c r="AB82" s="309"/>
      <c r="AC82" s="3"/>
      <c r="AD82" s="3"/>
    </row>
    <row r="83" spans="1:30" ht="18.75" x14ac:dyDescent="0.3">
      <c r="A83" s="3"/>
      <c r="B83" s="563"/>
      <c r="C83" s="564"/>
      <c r="D83" s="564"/>
      <c r="E83" s="564"/>
      <c r="F83" s="564"/>
      <c r="G83" s="564"/>
      <c r="H83" s="564"/>
      <c r="I83" s="564"/>
      <c r="J83" s="564"/>
      <c r="K83" s="564"/>
      <c r="L83" s="564"/>
      <c r="M83" s="564"/>
      <c r="N83" s="564"/>
      <c r="O83" s="564"/>
      <c r="P83" s="564"/>
      <c r="Q83" s="564"/>
      <c r="R83" s="564"/>
      <c r="S83" s="564"/>
      <c r="T83" s="564"/>
      <c r="U83" s="564"/>
      <c r="AB83" s="309"/>
      <c r="AC83" s="3"/>
      <c r="AD83" s="3"/>
    </row>
    <row r="84" spans="1:30" ht="18.75" x14ac:dyDescent="0.3">
      <c r="A84" s="3"/>
      <c r="B84" s="563"/>
      <c r="C84" s="564" t="s">
        <v>279</v>
      </c>
      <c r="D84" s="564"/>
      <c r="E84" s="564"/>
      <c r="F84" s="564"/>
      <c r="G84" s="564"/>
      <c r="H84" s="564"/>
      <c r="I84" s="564"/>
      <c r="J84" s="564"/>
      <c r="K84" s="564"/>
      <c r="L84" s="564"/>
      <c r="M84" s="564"/>
      <c r="N84" s="564"/>
      <c r="O84" s="564"/>
      <c r="P84" s="564"/>
      <c r="Q84" s="564"/>
      <c r="R84" s="564"/>
      <c r="S84" s="564"/>
      <c r="T84" s="564"/>
      <c r="U84" s="564"/>
      <c r="AB84" s="309"/>
      <c r="AC84" s="3"/>
      <c r="AD84" s="3"/>
    </row>
    <row r="85" spans="1:30" ht="18.75" x14ac:dyDescent="0.3">
      <c r="A85" s="3"/>
      <c r="B85" s="563"/>
      <c r="C85" s="564"/>
      <c r="D85" s="564"/>
      <c r="E85" s="564"/>
      <c r="F85" s="564"/>
      <c r="G85" s="564"/>
      <c r="H85" s="564"/>
      <c r="I85" s="564"/>
      <c r="J85" s="564"/>
      <c r="K85" s="564"/>
      <c r="L85" s="564"/>
      <c r="M85" s="564"/>
      <c r="N85" s="564"/>
      <c r="O85" s="564"/>
      <c r="P85" s="564"/>
      <c r="Q85" s="564"/>
      <c r="R85" s="564"/>
      <c r="S85" s="564"/>
      <c r="T85" s="564"/>
      <c r="U85" s="564"/>
      <c r="AB85" s="309"/>
      <c r="AC85" s="3"/>
      <c r="AD85" s="3"/>
    </row>
    <row r="86" spans="1:30" ht="18.75" x14ac:dyDescent="0.3">
      <c r="A86" s="3"/>
      <c r="B86" s="563"/>
      <c r="C86" s="564" t="s">
        <v>280</v>
      </c>
      <c r="D86" s="564"/>
      <c r="E86" s="564"/>
      <c r="F86" s="564"/>
      <c r="G86" s="564"/>
      <c r="H86" s="564"/>
      <c r="I86" s="564"/>
      <c r="J86" s="564"/>
      <c r="K86" s="564"/>
      <c r="L86" s="564"/>
      <c r="M86" s="564"/>
      <c r="N86" s="564"/>
      <c r="O86" s="564"/>
      <c r="P86" s="564"/>
      <c r="Q86" s="564"/>
      <c r="R86" s="564"/>
      <c r="S86" s="564"/>
      <c r="T86" s="564"/>
      <c r="U86" s="564"/>
      <c r="AB86" s="309"/>
      <c r="AC86" s="3"/>
      <c r="AD86" s="3"/>
    </row>
    <row r="87" spans="1:30" x14ac:dyDescent="0.25">
      <c r="A87" s="3"/>
      <c r="B87" s="314"/>
      <c r="C87" s="315"/>
      <c r="D87" s="316"/>
      <c r="E87" s="316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8"/>
      <c r="W87" s="318"/>
      <c r="X87" s="318"/>
      <c r="Y87" s="318"/>
      <c r="Z87" s="318"/>
      <c r="AA87" s="318"/>
      <c r="AB87" s="319"/>
      <c r="AC87" s="3"/>
      <c r="AD87" s="3"/>
    </row>
    <row r="88" spans="1:30" x14ac:dyDescent="0.25">
      <c r="A88" s="3"/>
      <c r="B88" s="320"/>
      <c r="C88" s="321"/>
      <c r="D88" s="320"/>
      <c r="E88" s="320"/>
      <c r="F88" s="322"/>
      <c r="G88" s="322"/>
      <c r="H88" s="322"/>
      <c r="I88" s="322"/>
      <c r="J88" s="322"/>
      <c r="K88" s="322"/>
      <c r="L88" s="322"/>
      <c r="M88" s="322"/>
      <c r="N88" s="322"/>
      <c r="O88" s="322"/>
      <c r="P88" s="322"/>
      <c r="Q88" s="322"/>
      <c r="R88" s="322"/>
      <c r="S88" s="322"/>
      <c r="T88" s="322"/>
      <c r="U88" s="322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3"/>
      <c r="B89" s="323"/>
      <c r="C89" s="323"/>
      <c r="D89" s="323"/>
      <c r="E89" s="323"/>
      <c r="F89" s="323"/>
      <c r="G89" s="323"/>
      <c r="H89" s="323"/>
      <c r="I89" s="323"/>
      <c r="J89" s="323"/>
      <c r="K89" s="323"/>
      <c r="L89" s="323"/>
      <c r="M89" s="323"/>
      <c r="N89" s="323"/>
      <c r="O89" s="323"/>
      <c r="P89" s="323"/>
      <c r="Q89" s="323"/>
      <c r="R89" s="323"/>
      <c r="S89" s="323"/>
      <c r="T89" s="323"/>
      <c r="U89" s="323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3"/>
      <c r="B90" s="323" t="s">
        <v>104</v>
      </c>
      <c r="C90" s="324">
        <v>45918</v>
      </c>
      <c r="D90" s="323" t="s">
        <v>105</v>
      </c>
      <c r="E90" s="635" t="s">
        <v>281</v>
      </c>
      <c r="F90" s="635"/>
      <c r="G90" s="635"/>
      <c r="H90" s="323"/>
      <c r="I90" s="323" t="s">
        <v>107</v>
      </c>
      <c r="J90" s="636" t="s">
        <v>282</v>
      </c>
      <c r="K90" s="636"/>
      <c r="L90" s="636"/>
      <c r="M90" s="636"/>
      <c r="N90" s="323"/>
      <c r="O90" s="323"/>
      <c r="P90" s="323"/>
      <c r="Q90" s="323"/>
      <c r="R90" s="323"/>
      <c r="S90" s="323"/>
      <c r="T90" s="323"/>
      <c r="U90" s="323"/>
      <c r="V90" s="3"/>
      <c r="W90" s="3"/>
      <c r="X90" s="3"/>
      <c r="Y90" s="3"/>
      <c r="Z90" s="3"/>
      <c r="AA90" s="3"/>
      <c r="AB90" s="3"/>
      <c r="AC90" s="3"/>
      <c r="AD90" s="3"/>
    </row>
    <row r="91" spans="1:30" ht="7.5" customHeight="1" x14ac:dyDescent="0.25">
      <c r="A91" s="3"/>
      <c r="B91" s="323"/>
      <c r="C91" s="323"/>
      <c r="D91" s="323"/>
      <c r="E91" s="323"/>
      <c r="F91" s="323"/>
      <c r="G91" s="323"/>
      <c r="H91" s="323"/>
      <c r="I91" s="323"/>
      <c r="J91" s="323"/>
      <c r="K91" s="323"/>
      <c r="L91" s="323"/>
      <c r="M91" s="323"/>
      <c r="N91" s="323"/>
      <c r="O91" s="323"/>
      <c r="P91" s="323"/>
      <c r="Q91" s="323"/>
      <c r="R91" s="323"/>
      <c r="S91" s="323"/>
      <c r="T91" s="323"/>
      <c r="U91" s="323"/>
      <c r="V91" s="3"/>
      <c r="W91" s="3"/>
      <c r="X91" s="3"/>
      <c r="Y91" s="3"/>
      <c r="Z91" s="3"/>
      <c r="AA91" s="3"/>
      <c r="AB91" s="3"/>
      <c r="AC91" s="3"/>
      <c r="AD91" s="3"/>
    </row>
    <row r="92" spans="1:30" x14ac:dyDescent="0.25">
      <c r="A92" s="3"/>
      <c r="B92" s="323"/>
      <c r="C92" s="323"/>
      <c r="D92" s="323" t="s">
        <v>109</v>
      </c>
      <c r="E92" s="325"/>
      <c r="F92" s="325"/>
      <c r="G92" s="325"/>
      <c r="H92" s="323"/>
      <c r="I92" s="323" t="s">
        <v>109</v>
      </c>
      <c r="J92" s="326"/>
      <c r="K92" s="326"/>
      <c r="L92" s="326"/>
      <c r="M92" s="326"/>
      <c r="N92" s="323"/>
      <c r="O92" s="323"/>
      <c r="P92" s="323"/>
      <c r="Q92" s="323"/>
      <c r="R92" s="323"/>
      <c r="S92" s="323"/>
      <c r="T92" s="323"/>
      <c r="U92" s="323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3"/>
      <c r="B93" s="323"/>
      <c r="C93" s="323"/>
      <c r="D93" s="323"/>
      <c r="E93" s="325"/>
      <c r="F93" s="325"/>
      <c r="G93" s="325"/>
      <c r="H93" s="323"/>
      <c r="I93" s="323"/>
      <c r="J93" s="326"/>
      <c r="K93" s="326"/>
      <c r="L93" s="326"/>
      <c r="M93" s="326"/>
      <c r="N93" s="323"/>
      <c r="O93" s="323"/>
      <c r="P93" s="323"/>
      <c r="Q93" s="323"/>
      <c r="R93" s="323"/>
      <c r="S93" s="323"/>
      <c r="T93" s="323"/>
      <c r="U93" s="323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3"/>
      <c r="B94" s="323"/>
      <c r="C94" s="323"/>
      <c r="D94" s="323"/>
      <c r="E94" s="323"/>
      <c r="F94" s="323"/>
      <c r="G94" s="323"/>
      <c r="H94" s="323"/>
      <c r="I94" s="323"/>
      <c r="J94" s="323"/>
      <c r="K94" s="323"/>
      <c r="L94" s="323"/>
      <c r="M94" s="323"/>
      <c r="N94" s="323"/>
      <c r="O94" s="323"/>
      <c r="P94" s="323"/>
      <c r="Q94" s="323"/>
      <c r="R94" s="323"/>
      <c r="S94" s="323"/>
      <c r="T94" s="323"/>
      <c r="U94" s="323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3"/>
      <c r="B95" s="323"/>
      <c r="C95" s="323"/>
      <c r="D95" s="323"/>
      <c r="E95" s="323"/>
      <c r="F95" s="323"/>
      <c r="G95" s="323"/>
      <c r="H95" s="323"/>
      <c r="I95" s="323"/>
      <c r="J95" s="323"/>
      <c r="K95" s="323"/>
      <c r="L95" s="323"/>
      <c r="M95" s="323"/>
      <c r="N95" s="323"/>
      <c r="O95" s="323"/>
      <c r="P95" s="323"/>
      <c r="Q95" s="323"/>
      <c r="R95" s="323"/>
      <c r="S95" s="323"/>
      <c r="T95" s="323"/>
      <c r="U95" s="323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/>
    <row r="97" x14ac:dyDescent="0.25"/>
    <row r="107" x14ac:dyDescent="0.25"/>
    <row r="108" x14ac:dyDescent="0.25"/>
    <row r="109" x14ac:dyDescent="0.25"/>
    <row r="110" x14ac:dyDescent="0.25"/>
    <row r="111" x14ac:dyDescent="0.25"/>
    <row r="112" ht="15" hidden="1" customHeight="1" x14ac:dyDescent="0.25"/>
    <row r="126" ht="15" hidden="1" customHeight="1" x14ac:dyDescent="0.25"/>
    <row r="127" ht="15" hidden="1" customHeight="1" x14ac:dyDescent="0.25"/>
    <row r="128" x14ac:dyDescent="0.25"/>
    <row r="132" x14ac:dyDescent="0.25"/>
    <row r="133" x14ac:dyDescent="0.25"/>
    <row r="134" x14ac:dyDescent="0.25"/>
    <row r="135" x14ac:dyDescent="0.25"/>
  </sheetData>
  <mergeCells count="80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6:AB28"/>
    <mergeCell ref="J27:L27"/>
    <mergeCell ref="M27:M28"/>
    <mergeCell ref="N27:N28"/>
    <mergeCell ref="O27:O28"/>
    <mergeCell ref="AA13:AA14"/>
    <mergeCell ref="D26:I26"/>
    <mergeCell ref="J26:O26"/>
    <mergeCell ref="P26:U26"/>
    <mergeCell ref="V26:AA26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27:B28"/>
    <mergeCell ref="C27:C28"/>
    <mergeCell ref="D27:F27"/>
    <mergeCell ref="G27:G28"/>
    <mergeCell ref="H27:H28"/>
    <mergeCell ref="V58:X58"/>
    <mergeCell ref="P27:R27"/>
    <mergeCell ref="S27:S28"/>
    <mergeCell ref="T27:T28"/>
    <mergeCell ref="U27:U28"/>
    <mergeCell ref="V27:X27"/>
    <mergeCell ref="Z27:Z28"/>
    <mergeCell ref="AA27:AA28"/>
    <mergeCell ref="C44:C45"/>
    <mergeCell ref="C47:C48"/>
    <mergeCell ref="V57:X57"/>
    <mergeCell ref="Y27:Y28"/>
    <mergeCell ref="I27:I28"/>
    <mergeCell ref="U72:X72"/>
    <mergeCell ref="V59:X59"/>
    <mergeCell ref="D61:E61"/>
    <mergeCell ref="V61:X61"/>
    <mergeCell ref="V62:X62"/>
    <mergeCell ref="V63:X63"/>
    <mergeCell ref="U66:X66"/>
    <mergeCell ref="U67:X67"/>
    <mergeCell ref="U68:X68"/>
    <mergeCell ref="U69:X69"/>
    <mergeCell ref="U70:X70"/>
    <mergeCell ref="U71:X71"/>
    <mergeCell ref="E90:G90"/>
    <mergeCell ref="J90:M90"/>
    <mergeCell ref="U73:X73"/>
    <mergeCell ref="U74:X74"/>
    <mergeCell ref="U75:X75"/>
    <mergeCell ref="D78:U78"/>
    <mergeCell ref="B80:U80"/>
    <mergeCell ref="B81:U81"/>
  </mergeCells>
  <conditionalFormatting sqref="AB15:AB26 AB29:AB42">
    <cfRule type="cellIs" dxfId="13" priority="1" operator="equal">
      <formula>0</formula>
    </cfRule>
    <cfRule type="containsErrors" dxfId="12" priority="2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rgb="FFFF0000"/>
    <pageSetUpPr fitToPage="1"/>
  </sheetPr>
  <dimension ref="A1:AD133"/>
  <sheetViews>
    <sheetView showGridLines="0" zoomScale="80" zoomScaleNormal="80" zoomScaleSheetLayoutView="80" workbookViewId="0">
      <selection activeCell="AA74" sqref="AA7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327" bestFit="1" customWidth="1"/>
    <col min="14" max="15" width="13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17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7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7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1</v>
      </c>
      <c r="C4" s="3"/>
      <c r="D4" s="690" t="s">
        <v>283</v>
      </c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7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3</v>
      </c>
      <c r="C6" s="3"/>
      <c r="D6" s="174">
        <v>46789723</v>
      </c>
      <c r="E6" s="3"/>
      <c r="F6" s="3"/>
      <c r="G6" s="3"/>
      <c r="H6" s="3"/>
      <c r="I6" s="3"/>
      <c r="J6" s="3"/>
      <c r="K6" s="3"/>
      <c r="L6" s="3"/>
      <c r="M6" s="17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175"/>
      <c r="E7" s="3"/>
      <c r="F7" s="3"/>
      <c r="G7" s="3"/>
      <c r="H7" s="3"/>
      <c r="I7" s="3"/>
      <c r="J7" s="3"/>
      <c r="K7" s="3"/>
      <c r="L7" s="3"/>
      <c r="M7" s="17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5</v>
      </c>
      <c r="C8" s="3"/>
      <c r="D8" s="691" t="s">
        <v>284</v>
      </c>
      <c r="E8" s="691"/>
      <c r="F8" s="691"/>
      <c r="G8" s="691"/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691"/>
      <c r="T8" s="691"/>
      <c r="U8" s="691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7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692" t="s">
        <v>7</v>
      </c>
      <c r="C10" s="651" t="s">
        <v>8</v>
      </c>
      <c r="D10" s="678" t="s">
        <v>9</v>
      </c>
      <c r="E10" s="679"/>
      <c r="F10" s="679"/>
      <c r="G10" s="679"/>
      <c r="H10" s="679"/>
      <c r="I10" s="680"/>
      <c r="J10" s="678" t="s">
        <v>166</v>
      </c>
      <c r="K10" s="679"/>
      <c r="L10" s="679"/>
      <c r="M10" s="679"/>
      <c r="N10" s="679"/>
      <c r="O10" s="680"/>
      <c r="P10" s="678" t="s">
        <v>11</v>
      </c>
      <c r="Q10" s="679"/>
      <c r="R10" s="679"/>
      <c r="S10" s="679"/>
      <c r="T10" s="679"/>
      <c r="U10" s="680"/>
      <c r="V10" s="678" t="s">
        <v>12</v>
      </c>
      <c r="W10" s="679"/>
      <c r="X10" s="679"/>
      <c r="Y10" s="679"/>
      <c r="Z10" s="679"/>
      <c r="AA10" s="680"/>
      <c r="AB10" s="681" t="s">
        <v>13</v>
      </c>
      <c r="AC10" s="3"/>
      <c r="AD10" s="3"/>
    </row>
    <row r="11" spans="1:30" ht="30.75" customHeight="1" thickBot="1" x14ac:dyDescent="0.3">
      <c r="A11" s="3"/>
      <c r="B11" s="693"/>
      <c r="C11" s="652"/>
      <c r="D11" s="684" t="s">
        <v>14</v>
      </c>
      <c r="E11" s="685"/>
      <c r="F11" s="685"/>
      <c r="G11" s="686"/>
      <c r="H11" s="176" t="s">
        <v>15</v>
      </c>
      <c r="I11" s="176" t="s">
        <v>16</v>
      </c>
      <c r="J11" s="684" t="s">
        <v>14</v>
      </c>
      <c r="K11" s="685"/>
      <c r="L11" s="685"/>
      <c r="M11" s="686"/>
      <c r="N11" s="176" t="s">
        <v>15</v>
      </c>
      <c r="O11" s="176" t="s">
        <v>16</v>
      </c>
      <c r="P11" s="684" t="s">
        <v>14</v>
      </c>
      <c r="Q11" s="685"/>
      <c r="R11" s="685"/>
      <c r="S11" s="686"/>
      <c r="T11" s="176" t="s">
        <v>15</v>
      </c>
      <c r="U11" s="176" t="s">
        <v>16</v>
      </c>
      <c r="V11" s="684" t="s">
        <v>14</v>
      </c>
      <c r="W11" s="685"/>
      <c r="X11" s="685"/>
      <c r="Y11" s="686"/>
      <c r="Z11" s="176" t="s">
        <v>15</v>
      </c>
      <c r="AA11" s="176" t="s">
        <v>16</v>
      </c>
      <c r="AB11" s="682"/>
      <c r="AC11" s="3"/>
      <c r="AD11" s="3"/>
    </row>
    <row r="12" spans="1:30" ht="15.75" customHeight="1" thickBot="1" x14ac:dyDescent="0.3">
      <c r="A12" s="3"/>
      <c r="B12" s="693"/>
      <c r="C12" s="695"/>
      <c r="D12" s="687" t="s">
        <v>17</v>
      </c>
      <c r="E12" s="688"/>
      <c r="F12" s="688"/>
      <c r="G12" s="688"/>
      <c r="H12" s="688"/>
      <c r="I12" s="689"/>
      <c r="J12" s="687" t="s">
        <v>17</v>
      </c>
      <c r="K12" s="688"/>
      <c r="L12" s="688"/>
      <c r="M12" s="688"/>
      <c r="N12" s="688"/>
      <c r="O12" s="689"/>
      <c r="P12" s="687" t="s">
        <v>17</v>
      </c>
      <c r="Q12" s="688"/>
      <c r="R12" s="688"/>
      <c r="S12" s="688"/>
      <c r="T12" s="688"/>
      <c r="U12" s="689"/>
      <c r="V12" s="687" t="s">
        <v>17</v>
      </c>
      <c r="W12" s="688"/>
      <c r="X12" s="688"/>
      <c r="Y12" s="688"/>
      <c r="Z12" s="688"/>
      <c r="AA12" s="689"/>
      <c r="AB12" s="682"/>
      <c r="AC12" s="3"/>
      <c r="AD12" s="3"/>
    </row>
    <row r="13" spans="1:30" ht="15.75" customHeight="1" thickBot="1" x14ac:dyDescent="0.3">
      <c r="A13" s="3"/>
      <c r="B13" s="694"/>
      <c r="C13" s="696"/>
      <c r="D13" s="676" t="s">
        <v>18</v>
      </c>
      <c r="E13" s="677"/>
      <c r="F13" s="677"/>
      <c r="G13" s="647" t="s">
        <v>19</v>
      </c>
      <c r="H13" s="674" t="s">
        <v>20</v>
      </c>
      <c r="I13" s="653" t="s">
        <v>17</v>
      </c>
      <c r="J13" s="676" t="s">
        <v>18</v>
      </c>
      <c r="K13" s="677"/>
      <c r="L13" s="677"/>
      <c r="M13" s="647" t="s">
        <v>19</v>
      </c>
      <c r="N13" s="674" t="s">
        <v>20</v>
      </c>
      <c r="O13" s="653" t="s">
        <v>17</v>
      </c>
      <c r="P13" s="676" t="s">
        <v>18</v>
      </c>
      <c r="Q13" s="677"/>
      <c r="R13" s="677"/>
      <c r="S13" s="647" t="s">
        <v>19</v>
      </c>
      <c r="T13" s="674" t="s">
        <v>20</v>
      </c>
      <c r="U13" s="653" t="s">
        <v>17</v>
      </c>
      <c r="V13" s="676" t="s">
        <v>18</v>
      </c>
      <c r="W13" s="677"/>
      <c r="X13" s="677"/>
      <c r="Y13" s="647" t="s">
        <v>19</v>
      </c>
      <c r="Z13" s="674" t="s">
        <v>20</v>
      </c>
      <c r="AA13" s="653" t="s">
        <v>17</v>
      </c>
      <c r="AB13" s="682"/>
      <c r="AC13" s="3"/>
      <c r="AD13" s="3"/>
    </row>
    <row r="14" spans="1:30" ht="15.75" thickBot="1" x14ac:dyDescent="0.3">
      <c r="A14" s="3"/>
      <c r="B14" s="177"/>
      <c r="C14" s="178"/>
      <c r="D14" s="179" t="s">
        <v>21</v>
      </c>
      <c r="E14" s="180" t="s">
        <v>22</v>
      </c>
      <c r="F14" s="180" t="s">
        <v>23</v>
      </c>
      <c r="G14" s="648"/>
      <c r="H14" s="675"/>
      <c r="I14" s="654"/>
      <c r="J14" s="179" t="s">
        <v>21</v>
      </c>
      <c r="K14" s="180" t="s">
        <v>22</v>
      </c>
      <c r="L14" s="180" t="s">
        <v>23</v>
      </c>
      <c r="M14" s="648"/>
      <c r="N14" s="675"/>
      <c r="O14" s="654"/>
      <c r="P14" s="179" t="s">
        <v>21</v>
      </c>
      <c r="Q14" s="180" t="s">
        <v>22</v>
      </c>
      <c r="R14" s="180" t="s">
        <v>23</v>
      </c>
      <c r="S14" s="648"/>
      <c r="T14" s="675"/>
      <c r="U14" s="654"/>
      <c r="V14" s="179" t="s">
        <v>21</v>
      </c>
      <c r="W14" s="180" t="s">
        <v>22</v>
      </c>
      <c r="X14" s="180" t="s">
        <v>23</v>
      </c>
      <c r="Y14" s="648"/>
      <c r="Z14" s="675"/>
      <c r="AA14" s="654"/>
      <c r="AB14" s="683"/>
      <c r="AC14" s="3"/>
      <c r="AD14" s="3"/>
    </row>
    <row r="15" spans="1:30" x14ac:dyDescent="0.25">
      <c r="A15" s="3"/>
      <c r="B15" s="181" t="s">
        <v>24</v>
      </c>
      <c r="C15" s="182" t="s">
        <v>25</v>
      </c>
      <c r="D15" s="183"/>
      <c r="E15" s="184"/>
      <c r="F15" s="185">
        <v>2810.5</v>
      </c>
      <c r="G15" s="186">
        <f>SUM(D15:F15)</f>
        <v>2810.5</v>
      </c>
      <c r="H15" s="187"/>
      <c r="I15" s="188">
        <f>G15+H15</f>
        <v>2810.5</v>
      </c>
      <c r="J15" s="385"/>
      <c r="K15" s="386"/>
      <c r="L15" s="387">
        <v>2788</v>
      </c>
      <c r="M15" s="388">
        <f t="shared" ref="M15:M24" si="0">SUM(J15:L15)</f>
        <v>2788</v>
      </c>
      <c r="N15" s="389"/>
      <c r="O15" s="189">
        <f>M15+N15</f>
        <v>2788</v>
      </c>
      <c r="P15" s="183"/>
      <c r="Q15" s="184"/>
      <c r="R15" s="185">
        <v>1663.8</v>
      </c>
      <c r="S15" s="186">
        <f>SUM(P15:R15)</f>
        <v>1663.8</v>
      </c>
      <c r="T15" s="187"/>
      <c r="U15" s="188">
        <f>S15+T15</f>
        <v>1663.8</v>
      </c>
      <c r="V15" s="183"/>
      <c r="W15" s="184"/>
      <c r="X15" s="185">
        <v>2800</v>
      </c>
      <c r="Y15" s="186">
        <f>SUM(V15:X15)</f>
        <v>2800</v>
      </c>
      <c r="Z15" s="187"/>
      <c r="AA15" s="188">
        <f>Y15+Z15</f>
        <v>2800</v>
      </c>
      <c r="AB15" s="190">
        <f>(AA15/O15)</f>
        <v>1.0043041606886658</v>
      </c>
      <c r="AC15" s="3"/>
      <c r="AD15" s="3"/>
    </row>
    <row r="16" spans="1:30" x14ac:dyDescent="0.25">
      <c r="A16" s="3"/>
      <c r="B16" s="191" t="s">
        <v>26</v>
      </c>
      <c r="C16" s="192" t="s">
        <v>123</v>
      </c>
      <c r="D16" s="193">
        <v>8900</v>
      </c>
      <c r="E16" s="194"/>
      <c r="F16" s="194"/>
      <c r="G16" s="195">
        <f t="shared" ref="G16:G24" si="1">SUM(D16:F16)</f>
        <v>8900</v>
      </c>
      <c r="H16" s="196"/>
      <c r="I16" s="188">
        <f t="shared" ref="I16:I24" si="2">G16+H16</f>
        <v>8900</v>
      </c>
      <c r="J16" s="390">
        <v>9053.7000000000007</v>
      </c>
      <c r="K16" s="391"/>
      <c r="L16" s="391"/>
      <c r="M16" s="392">
        <f t="shared" si="0"/>
        <v>9053.7000000000007</v>
      </c>
      <c r="N16" s="393"/>
      <c r="O16" s="189">
        <f t="shared" ref="O16:O21" si="3">M16+N16</f>
        <v>9053.7000000000007</v>
      </c>
      <c r="P16" s="193">
        <v>5149.2</v>
      </c>
      <c r="Q16" s="194"/>
      <c r="R16" s="194"/>
      <c r="S16" s="195">
        <f t="shared" ref="S16:S24" si="4">SUM(P16:R16)</f>
        <v>5149.2</v>
      </c>
      <c r="T16" s="196"/>
      <c r="U16" s="188">
        <f t="shared" ref="U16:U21" si="5">S16+T16</f>
        <v>5149.2</v>
      </c>
      <c r="V16" s="193">
        <v>9249</v>
      </c>
      <c r="W16" s="194"/>
      <c r="X16" s="194"/>
      <c r="Y16" s="195">
        <f t="shared" ref="Y16:Y24" si="6">SUM(V16:X16)</f>
        <v>9249</v>
      </c>
      <c r="Z16" s="196"/>
      <c r="AA16" s="188">
        <f t="shared" ref="AA16:AA21" si="7">Y16+Z16</f>
        <v>9249</v>
      </c>
      <c r="AB16" s="190">
        <f t="shared" ref="AB16:AB25" si="8">(AA16/O16)</f>
        <v>1.0215712912952715</v>
      </c>
      <c r="AC16" s="3"/>
      <c r="AD16" s="3"/>
    </row>
    <row r="17" spans="1:30" x14ac:dyDescent="0.25">
      <c r="A17" s="3"/>
      <c r="B17" s="191" t="s">
        <v>28</v>
      </c>
      <c r="C17" s="197" t="s">
        <v>124</v>
      </c>
      <c r="D17" s="29">
        <v>588.70000000000005</v>
      </c>
      <c r="E17" s="198"/>
      <c r="F17" s="198"/>
      <c r="G17" s="195">
        <f t="shared" si="1"/>
        <v>588.70000000000005</v>
      </c>
      <c r="H17" s="199"/>
      <c r="I17" s="188">
        <f t="shared" si="2"/>
        <v>588.70000000000005</v>
      </c>
      <c r="J17" s="342">
        <v>198.5</v>
      </c>
      <c r="K17" s="394"/>
      <c r="L17" s="394"/>
      <c r="M17" s="392">
        <f t="shared" si="0"/>
        <v>198.5</v>
      </c>
      <c r="N17" s="395"/>
      <c r="O17" s="189">
        <f t="shared" si="3"/>
        <v>198.5</v>
      </c>
      <c r="P17" s="29">
        <v>4.5999999999999996</v>
      </c>
      <c r="Q17" s="198"/>
      <c r="R17" s="198"/>
      <c r="S17" s="195">
        <f t="shared" si="4"/>
        <v>4.5999999999999996</v>
      </c>
      <c r="T17" s="199"/>
      <c r="U17" s="188">
        <f t="shared" si="5"/>
        <v>4.5999999999999996</v>
      </c>
      <c r="V17" s="29"/>
      <c r="W17" s="198"/>
      <c r="X17" s="198"/>
      <c r="Y17" s="195">
        <f t="shared" si="6"/>
        <v>0</v>
      </c>
      <c r="Z17" s="199"/>
      <c r="AA17" s="188">
        <f t="shared" si="7"/>
        <v>0</v>
      </c>
      <c r="AB17" s="190">
        <f t="shared" si="8"/>
        <v>0</v>
      </c>
      <c r="AC17" s="3"/>
      <c r="AD17" s="3"/>
    </row>
    <row r="18" spans="1:30" x14ac:dyDescent="0.25">
      <c r="A18" s="3"/>
      <c r="B18" s="191" t="s">
        <v>125</v>
      </c>
      <c r="C18" s="465" t="s">
        <v>126</v>
      </c>
      <c r="D18" s="29"/>
      <c r="E18" s="198"/>
      <c r="F18" s="198"/>
      <c r="G18" s="195">
        <f t="shared" si="1"/>
        <v>0</v>
      </c>
      <c r="H18" s="196"/>
      <c r="I18" s="188">
        <f t="shared" si="2"/>
        <v>0</v>
      </c>
      <c r="J18" s="342"/>
      <c r="K18" s="394"/>
      <c r="L18" s="394"/>
      <c r="M18" s="392">
        <f t="shared" si="0"/>
        <v>0</v>
      </c>
      <c r="N18" s="393"/>
      <c r="O18" s="189">
        <f t="shared" si="3"/>
        <v>0</v>
      </c>
      <c r="P18" s="29"/>
      <c r="Q18" s="198"/>
      <c r="R18" s="198"/>
      <c r="S18" s="195">
        <f t="shared" si="4"/>
        <v>0</v>
      </c>
      <c r="T18" s="196"/>
      <c r="U18" s="188">
        <f t="shared" si="5"/>
        <v>0</v>
      </c>
      <c r="V18" s="29">
        <v>8347</v>
      </c>
      <c r="W18" s="198"/>
      <c r="X18" s="198"/>
      <c r="Y18" s="195">
        <f t="shared" si="6"/>
        <v>8347</v>
      </c>
      <c r="Z18" s="196"/>
      <c r="AA18" s="188">
        <f t="shared" si="7"/>
        <v>8347</v>
      </c>
      <c r="AB18" s="190"/>
      <c r="AC18" s="3"/>
      <c r="AD18" s="3"/>
    </row>
    <row r="19" spans="1:30" x14ac:dyDescent="0.25">
      <c r="A19" s="3"/>
      <c r="B19" s="191" t="s">
        <v>30</v>
      </c>
      <c r="C19" s="200" t="s">
        <v>31</v>
      </c>
      <c r="D19" s="201"/>
      <c r="E19" s="37">
        <v>53161.2</v>
      </c>
      <c r="F19" s="198"/>
      <c r="G19" s="195">
        <f t="shared" si="1"/>
        <v>53161.2</v>
      </c>
      <c r="H19" s="187"/>
      <c r="I19" s="188">
        <f t="shared" si="2"/>
        <v>53161.2</v>
      </c>
      <c r="J19" s="396"/>
      <c r="K19" s="397">
        <v>51068.4</v>
      </c>
      <c r="L19" s="394"/>
      <c r="M19" s="392">
        <f t="shared" si="0"/>
        <v>51068.4</v>
      </c>
      <c r="N19" s="389"/>
      <c r="O19" s="189">
        <f t="shared" si="3"/>
        <v>51068.4</v>
      </c>
      <c r="P19" s="201"/>
      <c r="Q19" s="37">
        <v>26314.799999999999</v>
      </c>
      <c r="R19" s="198"/>
      <c r="S19" s="195">
        <f t="shared" si="4"/>
        <v>26314.799999999999</v>
      </c>
      <c r="T19" s="187"/>
      <c r="U19" s="188">
        <f t="shared" si="5"/>
        <v>26314.799999999999</v>
      </c>
      <c r="V19" s="201"/>
      <c r="W19" s="37">
        <v>45000</v>
      </c>
      <c r="X19" s="198"/>
      <c r="Y19" s="195">
        <f t="shared" si="6"/>
        <v>45000</v>
      </c>
      <c r="Z19" s="187"/>
      <c r="AA19" s="188">
        <f t="shared" si="7"/>
        <v>45000</v>
      </c>
      <c r="AB19" s="190">
        <f t="shared" si="8"/>
        <v>0.88117113518340107</v>
      </c>
      <c r="AC19" s="3"/>
      <c r="AD19" s="3"/>
    </row>
    <row r="20" spans="1:30" x14ac:dyDescent="0.25">
      <c r="A20" s="3"/>
      <c r="B20" s="191" t="s">
        <v>32</v>
      </c>
      <c r="C20" s="202" t="s">
        <v>33</v>
      </c>
      <c r="D20" s="203"/>
      <c r="E20" s="198"/>
      <c r="F20" s="37">
        <v>988.2</v>
      </c>
      <c r="G20" s="195">
        <f t="shared" si="1"/>
        <v>988.2</v>
      </c>
      <c r="H20" s="187"/>
      <c r="I20" s="188">
        <f t="shared" si="2"/>
        <v>988.2</v>
      </c>
      <c r="J20" s="398"/>
      <c r="K20" s="394"/>
      <c r="L20" s="397">
        <v>244.7</v>
      </c>
      <c r="M20" s="392">
        <f t="shared" si="0"/>
        <v>244.7</v>
      </c>
      <c r="N20" s="389"/>
      <c r="O20" s="189">
        <f t="shared" si="3"/>
        <v>244.7</v>
      </c>
      <c r="P20" s="203"/>
      <c r="Q20" s="198"/>
      <c r="R20" s="37">
        <v>207.7</v>
      </c>
      <c r="S20" s="195">
        <f t="shared" si="4"/>
        <v>207.7</v>
      </c>
      <c r="T20" s="187"/>
      <c r="U20" s="188">
        <f t="shared" si="5"/>
        <v>207.7</v>
      </c>
      <c r="V20" s="203"/>
      <c r="W20" s="198"/>
      <c r="X20" s="37">
        <v>590.20000000000005</v>
      </c>
      <c r="Y20" s="195">
        <f t="shared" si="6"/>
        <v>590.20000000000005</v>
      </c>
      <c r="Z20" s="187"/>
      <c r="AA20" s="188">
        <f t="shared" si="7"/>
        <v>590.20000000000005</v>
      </c>
      <c r="AB20" s="190">
        <f t="shared" si="8"/>
        <v>2.411932979158153</v>
      </c>
      <c r="AC20" s="3"/>
      <c r="AD20" s="3"/>
    </row>
    <row r="21" spans="1:30" x14ac:dyDescent="0.25">
      <c r="A21" s="3"/>
      <c r="B21" s="191" t="s">
        <v>34</v>
      </c>
      <c r="C21" s="204" t="s">
        <v>35</v>
      </c>
      <c r="D21" s="201"/>
      <c r="E21" s="194"/>
      <c r="F21" s="205">
        <v>68.5</v>
      </c>
      <c r="G21" s="195">
        <v>68.5</v>
      </c>
      <c r="H21" s="187"/>
      <c r="I21" s="188">
        <v>68.5</v>
      </c>
      <c r="J21" s="396"/>
      <c r="K21" s="391"/>
      <c r="L21" s="399"/>
      <c r="M21" s="392">
        <f t="shared" si="0"/>
        <v>0</v>
      </c>
      <c r="N21" s="389"/>
      <c r="O21" s="189">
        <f t="shared" si="3"/>
        <v>0</v>
      </c>
      <c r="P21" s="201"/>
      <c r="Q21" s="194"/>
      <c r="R21" s="205">
        <v>112.1</v>
      </c>
      <c r="S21" s="195">
        <f t="shared" si="4"/>
        <v>112.1</v>
      </c>
      <c r="T21" s="187"/>
      <c r="U21" s="188">
        <f t="shared" si="5"/>
        <v>112.1</v>
      </c>
      <c r="V21" s="201"/>
      <c r="W21" s="194"/>
      <c r="X21" s="205">
        <v>80</v>
      </c>
      <c r="Y21" s="195">
        <f t="shared" si="6"/>
        <v>80</v>
      </c>
      <c r="Z21" s="187"/>
      <c r="AA21" s="188">
        <f t="shared" si="7"/>
        <v>80</v>
      </c>
      <c r="AB21" s="190" t="e">
        <f t="shared" si="8"/>
        <v>#DIV/0!</v>
      </c>
      <c r="AC21" s="3"/>
      <c r="AD21" s="3"/>
    </row>
    <row r="22" spans="1:30" x14ac:dyDescent="0.25">
      <c r="A22" s="3"/>
      <c r="B22" s="191" t="s">
        <v>36</v>
      </c>
      <c r="C22" s="206" t="s">
        <v>37</v>
      </c>
      <c r="D22" s="201"/>
      <c r="E22" s="194"/>
      <c r="F22" s="205">
        <v>611.6</v>
      </c>
      <c r="G22" s="195">
        <f t="shared" si="1"/>
        <v>611.6</v>
      </c>
      <c r="H22" s="207">
        <v>371.5</v>
      </c>
      <c r="I22" s="188">
        <f>G22+H22</f>
        <v>983.1</v>
      </c>
      <c r="J22" s="396"/>
      <c r="K22" s="391"/>
      <c r="L22" s="399">
        <v>610</v>
      </c>
      <c r="M22" s="392">
        <f t="shared" si="0"/>
        <v>610</v>
      </c>
      <c r="N22" s="400">
        <v>370</v>
      </c>
      <c r="O22" s="189">
        <f>M22+N22</f>
        <v>980</v>
      </c>
      <c r="P22" s="201"/>
      <c r="Q22" s="194"/>
      <c r="R22" s="205">
        <v>143.4</v>
      </c>
      <c r="S22" s="195">
        <f t="shared" si="4"/>
        <v>143.4</v>
      </c>
      <c r="T22" s="207">
        <v>196.9</v>
      </c>
      <c r="U22" s="188">
        <f>S22+T22</f>
        <v>340.3</v>
      </c>
      <c r="V22" s="201"/>
      <c r="W22" s="194"/>
      <c r="X22" s="205">
        <v>450</v>
      </c>
      <c r="Y22" s="195">
        <f t="shared" si="6"/>
        <v>450</v>
      </c>
      <c r="Z22" s="207">
        <v>370</v>
      </c>
      <c r="AA22" s="188">
        <f>Y22+Z22</f>
        <v>820</v>
      </c>
      <c r="AB22" s="190">
        <f t="shared" si="8"/>
        <v>0.83673469387755106</v>
      </c>
      <c r="AC22" s="3"/>
      <c r="AD22" s="3"/>
    </row>
    <row r="23" spans="1:30" x14ac:dyDescent="0.25">
      <c r="A23" s="3"/>
      <c r="B23" s="191" t="s">
        <v>38</v>
      </c>
      <c r="C23" s="206" t="s">
        <v>39</v>
      </c>
      <c r="D23" s="201"/>
      <c r="E23" s="194"/>
      <c r="F23" s="205"/>
      <c r="G23" s="195">
        <f t="shared" si="1"/>
        <v>0</v>
      </c>
      <c r="H23" s="207">
        <v>371.5</v>
      </c>
      <c r="I23" s="188">
        <f t="shared" si="2"/>
        <v>371.5</v>
      </c>
      <c r="J23" s="396"/>
      <c r="K23" s="391"/>
      <c r="L23" s="399"/>
      <c r="M23" s="392">
        <f t="shared" si="0"/>
        <v>0</v>
      </c>
      <c r="N23" s="400">
        <v>370</v>
      </c>
      <c r="O23" s="189">
        <f t="shared" ref="O23:O24" si="9">M23+N23</f>
        <v>370</v>
      </c>
      <c r="P23" s="201"/>
      <c r="Q23" s="194"/>
      <c r="R23" s="205"/>
      <c r="S23" s="195">
        <f t="shared" si="4"/>
        <v>0</v>
      </c>
      <c r="T23" s="207">
        <v>196.9</v>
      </c>
      <c r="U23" s="188">
        <f t="shared" ref="U23:U24" si="10">S23+T23</f>
        <v>196.9</v>
      </c>
      <c r="V23" s="201"/>
      <c r="W23" s="194"/>
      <c r="X23" s="205"/>
      <c r="Y23" s="195">
        <f t="shared" si="6"/>
        <v>0</v>
      </c>
      <c r="Z23" s="207">
        <v>370</v>
      </c>
      <c r="AA23" s="188">
        <f t="shared" ref="AA23:AA24" si="11">Y23+Z23</f>
        <v>370</v>
      </c>
      <c r="AB23" s="190">
        <f t="shared" si="8"/>
        <v>1</v>
      </c>
      <c r="AC23" s="3"/>
      <c r="AD23" s="3"/>
    </row>
    <row r="24" spans="1:30" ht="15.75" thickBot="1" x14ac:dyDescent="0.3">
      <c r="A24" s="3"/>
      <c r="B24" s="208" t="s">
        <v>40</v>
      </c>
      <c r="C24" s="209" t="s">
        <v>41</v>
      </c>
      <c r="D24" s="210"/>
      <c r="E24" s="211"/>
      <c r="F24" s="212"/>
      <c r="G24" s="213">
        <f t="shared" si="1"/>
        <v>0</v>
      </c>
      <c r="H24" s="214"/>
      <c r="I24" s="215">
        <f t="shared" si="2"/>
        <v>0</v>
      </c>
      <c r="J24" s="401"/>
      <c r="K24" s="402"/>
      <c r="L24" s="403"/>
      <c r="M24" s="404">
        <f t="shared" si="0"/>
        <v>0</v>
      </c>
      <c r="N24" s="405"/>
      <c r="O24" s="216">
        <f t="shared" si="9"/>
        <v>0</v>
      </c>
      <c r="P24" s="210"/>
      <c r="Q24" s="211"/>
      <c r="R24" s="212"/>
      <c r="S24" s="213">
        <f t="shared" si="4"/>
        <v>0</v>
      </c>
      <c r="T24" s="214"/>
      <c r="U24" s="215">
        <f t="shared" si="10"/>
        <v>0</v>
      </c>
      <c r="V24" s="210"/>
      <c r="W24" s="211"/>
      <c r="X24" s="212"/>
      <c r="Y24" s="213">
        <f t="shared" si="6"/>
        <v>0</v>
      </c>
      <c r="Z24" s="214"/>
      <c r="AA24" s="215">
        <f t="shared" si="11"/>
        <v>0</v>
      </c>
      <c r="AB24" s="217" t="e">
        <f t="shared" si="8"/>
        <v>#DIV/0!</v>
      </c>
      <c r="AC24" s="3"/>
      <c r="AD24" s="3"/>
    </row>
    <row r="25" spans="1:30" ht="15.75" thickBot="1" x14ac:dyDescent="0.3">
      <c r="A25" s="3"/>
      <c r="B25" s="218" t="s">
        <v>42</v>
      </c>
      <c r="C25" s="219" t="s">
        <v>43</v>
      </c>
      <c r="D25" s="220">
        <f>SUM(D15:D22)</f>
        <v>9488.7000000000007</v>
      </c>
      <c r="E25" s="221">
        <f>SUM(E15:E22)</f>
        <v>53161.2</v>
      </c>
      <c r="F25" s="221">
        <f>SUM(F15:F22)</f>
        <v>4478.8</v>
      </c>
      <c r="G25" s="222">
        <f>SUM(D25:F25)</f>
        <v>67128.7</v>
      </c>
      <c r="H25" s="223">
        <f>SUM(H15:H22)</f>
        <v>371.5</v>
      </c>
      <c r="I25" s="223">
        <f>SUM(I15:I22)</f>
        <v>67500.2</v>
      </c>
      <c r="J25" s="224">
        <f>SUM(J15:J22)</f>
        <v>9252.2000000000007</v>
      </c>
      <c r="K25" s="225">
        <f>SUM(K15:K22)</f>
        <v>51068.4</v>
      </c>
      <c r="L25" s="225">
        <f>SUM(L15:L22)</f>
        <v>3642.7</v>
      </c>
      <c r="M25" s="226">
        <f>SUM(J25:L25)</f>
        <v>63963.3</v>
      </c>
      <c r="N25" s="227">
        <f>SUM(N15:N22)</f>
        <v>370</v>
      </c>
      <c r="O25" s="227">
        <f>SUM(O15:O22)</f>
        <v>64333.3</v>
      </c>
      <c r="P25" s="220">
        <f>SUM(P15:P22)</f>
        <v>5153.8</v>
      </c>
      <c r="Q25" s="221">
        <f>SUM(Q15:Q22)</f>
        <v>26314.799999999999</v>
      </c>
      <c r="R25" s="221">
        <f>SUM(R15:R22)</f>
        <v>2127</v>
      </c>
      <c r="S25" s="222">
        <f>SUM(P25:R25)</f>
        <v>33595.599999999999</v>
      </c>
      <c r="T25" s="223">
        <f>SUM(T15:T22)</f>
        <v>196.9</v>
      </c>
      <c r="U25" s="223">
        <f>SUM(U15:U22)</f>
        <v>33792.5</v>
      </c>
      <c r="V25" s="220">
        <f>SUM(V15:V22)</f>
        <v>17596</v>
      </c>
      <c r="W25" s="221">
        <f>SUM(W15:W22)</f>
        <v>45000</v>
      </c>
      <c r="X25" s="221">
        <f>SUM(X15:X22)</f>
        <v>3920.2</v>
      </c>
      <c r="Y25" s="222">
        <f>SUM(V25:X25)</f>
        <v>66516.2</v>
      </c>
      <c r="Z25" s="223">
        <f>SUM(Z15:Z22)</f>
        <v>370</v>
      </c>
      <c r="AA25" s="223">
        <f>SUM(AA15:AA22)</f>
        <v>66886.2</v>
      </c>
      <c r="AB25" s="228">
        <f t="shared" si="8"/>
        <v>1.0396824039805201</v>
      </c>
      <c r="AC25" s="3"/>
      <c r="AD25" s="3"/>
    </row>
    <row r="26" spans="1:30" ht="15.75" customHeight="1" thickBot="1" x14ac:dyDescent="0.3">
      <c r="A26" s="3"/>
      <c r="B26" s="229"/>
      <c r="C26" s="230"/>
      <c r="D26" s="655" t="s">
        <v>44</v>
      </c>
      <c r="E26" s="656"/>
      <c r="F26" s="656"/>
      <c r="G26" s="657"/>
      <c r="H26" s="657"/>
      <c r="I26" s="658"/>
      <c r="J26" s="659" t="s">
        <v>44</v>
      </c>
      <c r="K26" s="660"/>
      <c r="L26" s="660"/>
      <c r="M26" s="661"/>
      <c r="N26" s="661"/>
      <c r="O26" s="662"/>
      <c r="P26" s="655" t="s">
        <v>44</v>
      </c>
      <c r="Q26" s="656"/>
      <c r="R26" s="656"/>
      <c r="S26" s="657"/>
      <c r="T26" s="657"/>
      <c r="U26" s="658"/>
      <c r="V26" s="655" t="s">
        <v>44</v>
      </c>
      <c r="W26" s="656"/>
      <c r="X26" s="656"/>
      <c r="Y26" s="657"/>
      <c r="Z26" s="657"/>
      <c r="AA26" s="658"/>
      <c r="AB26" s="663" t="s">
        <v>13</v>
      </c>
      <c r="AC26" s="3"/>
      <c r="AD26" s="3"/>
    </row>
    <row r="27" spans="1:30" ht="15.75" thickBot="1" x14ac:dyDescent="0.3">
      <c r="A27" s="3"/>
      <c r="B27" s="649" t="s">
        <v>7</v>
      </c>
      <c r="C27" s="651" t="s">
        <v>8</v>
      </c>
      <c r="D27" s="645" t="s">
        <v>45</v>
      </c>
      <c r="E27" s="646"/>
      <c r="F27" s="646"/>
      <c r="G27" s="647" t="s">
        <v>46</v>
      </c>
      <c r="H27" s="637" t="s">
        <v>47</v>
      </c>
      <c r="I27" s="639" t="s">
        <v>44</v>
      </c>
      <c r="J27" s="666" t="s">
        <v>45</v>
      </c>
      <c r="K27" s="667"/>
      <c r="L27" s="667"/>
      <c r="M27" s="668" t="s">
        <v>46</v>
      </c>
      <c r="N27" s="670" t="s">
        <v>47</v>
      </c>
      <c r="O27" s="672" t="s">
        <v>44</v>
      </c>
      <c r="P27" s="645" t="s">
        <v>45</v>
      </c>
      <c r="Q27" s="646"/>
      <c r="R27" s="646"/>
      <c r="S27" s="647" t="s">
        <v>46</v>
      </c>
      <c r="T27" s="637" t="s">
        <v>47</v>
      </c>
      <c r="U27" s="639" t="s">
        <v>44</v>
      </c>
      <c r="V27" s="645" t="s">
        <v>45</v>
      </c>
      <c r="W27" s="646"/>
      <c r="X27" s="646"/>
      <c r="Y27" s="647" t="s">
        <v>46</v>
      </c>
      <c r="Z27" s="637" t="s">
        <v>47</v>
      </c>
      <c r="AA27" s="639" t="s">
        <v>44</v>
      </c>
      <c r="AB27" s="664"/>
      <c r="AC27" s="3"/>
      <c r="AD27" s="3"/>
    </row>
    <row r="28" spans="1:30" ht="15.75" thickBot="1" x14ac:dyDescent="0.3">
      <c r="A28" s="3"/>
      <c r="B28" s="650"/>
      <c r="C28" s="652"/>
      <c r="D28" s="231" t="s">
        <v>48</v>
      </c>
      <c r="E28" s="232" t="s">
        <v>49</v>
      </c>
      <c r="F28" s="233" t="s">
        <v>50</v>
      </c>
      <c r="G28" s="648"/>
      <c r="H28" s="638"/>
      <c r="I28" s="640"/>
      <c r="J28" s="234" t="s">
        <v>48</v>
      </c>
      <c r="K28" s="235" t="s">
        <v>49</v>
      </c>
      <c r="L28" s="236" t="s">
        <v>50</v>
      </c>
      <c r="M28" s="669"/>
      <c r="N28" s="671"/>
      <c r="O28" s="673"/>
      <c r="P28" s="231" t="s">
        <v>48</v>
      </c>
      <c r="Q28" s="232" t="s">
        <v>49</v>
      </c>
      <c r="R28" s="233" t="s">
        <v>50</v>
      </c>
      <c r="S28" s="648"/>
      <c r="T28" s="638"/>
      <c r="U28" s="640"/>
      <c r="V28" s="231" t="s">
        <v>48</v>
      </c>
      <c r="W28" s="232" t="s">
        <v>49</v>
      </c>
      <c r="X28" s="233" t="s">
        <v>50</v>
      </c>
      <c r="Y28" s="648"/>
      <c r="Z28" s="638"/>
      <c r="AA28" s="640"/>
      <c r="AB28" s="665"/>
      <c r="AC28" s="3"/>
      <c r="AD28" s="3"/>
    </row>
    <row r="29" spans="1:30" x14ac:dyDescent="0.25">
      <c r="A29" s="3"/>
      <c r="B29" s="181" t="s">
        <v>51</v>
      </c>
      <c r="C29" s="182" t="s">
        <v>52</v>
      </c>
      <c r="D29" s="237">
        <v>868.2</v>
      </c>
      <c r="E29" s="237"/>
      <c r="F29" s="237"/>
      <c r="G29" s="238">
        <f>SUM(D29:F29)</f>
        <v>868.2</v>
      </c>
      <c r="H29" s="238"/>
      <c r="I29" s="239">
        <f>G29+H29</f>
        <v>868.2</v>
      </c>
      <c r="J29" s="406">
        <v>808.5</v>
      </c>
      <c r="K29" s="407"/>
      <c r="L29" s="407"/>
      <c r="M29" s="408">
        <f>SUM(J29:L29)</f>
        <v>808.5</v>
      </c>
      <c r="N29" s="408"/>
      <c r="O29" s="241">
        <f>M29+N29</f>
        <v>808.5</v>
      </c>
      <c r="P29" s="240">
        <v>140.4</v>
      </c>
      <c r="Q29" s="237"/>
      <c r="R29" s="237"/>
      <c r="S29" s="238">
        <f>SUM(P29:R29)</f>
        <v>140.4</v>
      </c>
      <c r="T29" s="238"/>
      <c r="U29" s="239">
        <f>S29+T29</f>
        <v>140.4</v>
      </c>
      <c r="V29" s="240">
        <v>860</v>
      </c>
      <c r="W29" s="237"/>
      <c r="X29" s="237"/>
      <c r="Y29" s="238">
        <f>SUM(V29:X29)</f>
        <v>860</v>
      </c>
      <c r="Z29" s="238"/>
      <c r="AA29" s="239">
        <f>Y29+Z29</f>
        <v>860</v>
      </c>
      <c r="AB29" s="190">
        <f t="shared" ref="AB29:AB42" si="12">(AA29/O29)</f>
        <v>1.0636982065553493</v>
      </c>
      <c r="AC29" s="3"/>
      <c r="AD29" s="3"/>
    </row>
    <row r="30" spans="1:30" x14ac:dyDescent="0.25">
      <c r="A30" s="3"/>
      <c r="B30" s="191" t="s">
        <v>53</v>
      </c>
      <c r="C30" s="206" t="s">
        <v>54</v>
      </c>
      <c r="D30" s="242">
        <v>637.29999999999995</v>
      </c>
      <c r="E30" s="242">
        <v>531</v>
      </c>
      <c r="F30" s="242">
        <v>2727.8</v>
      </c>
      <c r="G30" s="243">
        <f t="shared" ref="G30:G39" si="13">SUM(D30:F30)</f>
        <v>3896.1000000000004</v>
      </c>
      <c r="H30" s="243">
        <v>2.2999999999999998</v>
      </c>
      <c r="I30" s="188">
        <f t="shared" ref="I30:I39" si="14">G30+H30</f>
        <v>3898.4000000000005</v>
      </c>
      <c r="J30" s="245">
        <v>704.1</v>
      </c>
      <c r="K30" s="246">
        <v>350</v>
      </c>
      <c r="L30" s="246">
        <v>2788</v>
      </c>
      <c r="M30" s="247">
        <f t="shared" ref="M30:M39" si="15">SUM(J30:L30)</f>
        <v>3842.1</v>
      </c>
      <c r="N30" s="247"/>
      <c r="O30" s="189">
        <f t="shared" ref="O30:O39" si="16">M30+N30</f>
        <v>3842.1</v>
      </c>
      <c r="P30" s="244">
        <v>218.7</v>
      </c>
      <c r="Q30" s="242">
        <v>71.7</v>
      </c>
      <c r="R30" s="242">
        <v>1570.1</v>
      </c>
      <c r="S30" s="243">
        <f t="shared" ref="S30:S39" si="17">SUM(P30:R30)</f>
        <v>1860.5</v>
      </c>
      <c r="T30" s="243">
        <v>2.5</v>
      </c>
      <c r="U30" s="188">
        <f t="shared" ref="U30:U39" si="18">S30+T30</f>
        <v>1863</v>
      </c>
      <c r="V30" s="244">
        <v>789</v>
      </c>
      <c r="W30" s="242">
        <v>550</v>
      </c>
      <c r="X30" s="242">
        <v>2800</v>
      </c>
      <c r="Y30" s="243">
        <f t="shared" ref="Y30:Y39" si="19">SUM(V30:X30)</f>
        <v>4139</v>
      </c>
      <c r="Z30" s="243"/>
      <c r="AA30" s="188">
        <f t="shared" ref="AA30:AA39" si="20">Y30+Z30</f>
        <v>4139</v>
      </c>
      <c r="AB30" s="190">
        <f t="shared" si="12"/>
        <v>1.077275448322532</v>
      </c>
      <c r="AC30" s="3"/>
      <c r="AD30" s="3"/>
    </row>
    <row r="31" spans="1:30" x14ac:dyDescent="0.25">
      <c r="A31" s="3"/>
      <c r="B31" s="191" t="s">
        <v>55</v>
      </c>
      <c r="C31" s="206" t="s">
        <v>56</v>
      </c>
      <c r="D31" s="242">
        <v>4150.8999999999996</v>
      </c>
      <c r="E31" s="242"/>
      <c r="F31" s="242">
        <v>90.5</v>
      </c>
      <c r="G31" s="243">
        <f t="shared" si="13"/>
        <v>4241.3999999999996</v>
      </c>
      <c r="H31" s="243">
        <v>103.3</v>
      </c>
      <c r="I31" s="188">
        <f t="shared" si="14"/>
        <v>4344.7</v>
      </c>
      <c r="J31" s="245">
        <v>4350</v>
      </c>
      <c r="K31" s="246"/>
      <c r="L31" s="246"/>
      <c r="M31" s="247">
        <f t="shared" si="15"/>
        <v>4350</v>
      </c>
      <c r="N31" s="247">
        <v>370</v>
      </c>
      <c r="O31" s="189">
        <f t="shared" si="16"/>
        <v>4720</v>
      </c>
      <c r="P31" s="244">
        <v>2273.8000000000002</v>
      </c>
      <c r="Q31" s="242"/>
      <c r="R31" s="242"/>
      <c r="S31" s="243">
        <f t="shared" si="17"/>
        <v>2273.8000000000002</v>
      </c>
      <c r="T31" s="243">
        <v>35.799999999999997</v>
      </c>
      <c r="U31" s="188">
        <f t="shared" si="18"/>
        <v>2309.6000000000004</v>
      </c>
      <c r="V31" s="244">
        <v>4250</v>
      </c>
      <c r="W31" s="242"/>
      <c r="X31" s="242"/>
      <c r="Y31" s="243">
        <f t="shared" si="19"/>
        <v>4250</v>
      </c>
      <c r="Z31" s="243">
        <v>370</v>
      </c>
      <c r="AA31" s="188">
        <f t="shared" si="20"/>
        <v>4620</v>
      </c>
      <c r="AB31" s="190">
        <f t="shared" si="12"/>
        <v>0.97881355932203384</v>
      </c>
      <c r="AC31" s="3"/>
      <c r="AD31" s="3"/>
    </row>
    <row r="32" spans="1:30" x14ac:dyDescent="0.25">
      <c r="A32" s="3"/>
      <c r="B32" s="191" t="s">
        <v>57</v>
      </c>
      <c r="C32" s="206" t="s">
        <v>58</v>
      </c>
      <c r="D32" s="242">
        <v>1411.9</v>
      </c>
      <c r="E32" s="242">
        <v>89.8</v>
      </c>
      <c r="F32" s="242"/>
      <c r="G32" s="243">
        <f t="shared" si="13"/>
        <v>1501.7</v>
      </c>
      <c r="H32" s="243"/>
      <c r="I32" s="188">
        <f t="shared" si="14"/>
        <v>1501.7</v>
      </c>
      <c r="J32" s="245">
        <v>1500</v>
      </c>
      <c r="K32" s="246">
        <v>280</v>
      </c>
      <c r="L32" s="246"/>
      <c r="M32" s="247">
        <f t="shared" si="15"/>
        <v>1780</v>
      </c>
      <c r="N32" s="247"/>
      <c r="O32" s="189">
        <f t="shared" si="16"/>
        <v>1780</v>
      </c>
      <c r="P32" s="244">
        <v>706.2</v>
      </c>
      <c r="Q32" s="242">
        <v>201.6</v>
      </c>
      <c r="R32" s="242">
        <v>82</v>
      </c>
      <c r="S32" s="243">
        <f t="shared" si="17"/>
        <v>989.80000000000007</v>
      </c>
      <c r="T32" s="243"/>
      <c r="U32" s="188">
        <f t="shared" si="18"/>
        <v>989.80000000000007</v>
      </c>
      <c r="V32" s="244">
        <v>1450</v>
      </c>
      <c r="W32" s="242"/>
      <c r="X32" s="242"/>
      <c r="Y32" s="243">
        <f t="shared" si="19"/>
        <v>1450</v>
      </c>
      <c r="Z32" s="243"/>
      <c r="AA32" s="188">
        <f t="shared" si="20"/>
        <v>1450</v>
      </c>
      <c r="AB32" s="190">
        <f t="shared" si="12"/>
        <v>0.8146067415730337</v>
      </c>
      <c r="AC32" s="3"/>
      <c r="AD32" s="3"/>
    </row>
    <row r="33" spans="1:30" x14ac:dyDescent="0.25">
      <c r="A33" s="3"/>
      <c r="B33" s="191" t="s">
        <v>59</v>
      </c>
      <c r="C33" s="206" t="s">
        <v>60</v>
      </c>
      <c r="D33" s="248">
        <v>143</v>
      </c>
      <c r="E33" s="242">
        <v>38253.599999999999</v>
      </c>
      <c r="F33" s="242"/>
      <c r="G33" s="243">
        <f t="shared" si="13"/>
        <v>38396.6</v>
      </c>
      <c r="H33" s="243">
        <v>1.1000000000000001</v>
      </c>
      <c r="I33" s="188">
        <f t="shared" si="14"/>
        <v>38397.699999999997</v>
      </c>
      <c r="J33" s="245">
        <v>140.9</v>
      </c>
      <c r="K33" s="246">
        <v>36800</v>
      </c>
      <c r="L33" s="246"/>
      <c r="M33" s="247">
        <f t="shared" si="15"/>
        <v>36940.9</v>
      </c>
      <c r="N33" s="247"/>
      <c r="O33" s="189">
        <f t="shared" si="16"/>
        <v>36940.9</v>
      </c>
      <c r="P33" s="249"/>
      <c r="Q33" s="242">
        <v>19195.400000000001</v>
      </c>
      <c r="R33" s="242"/>
      <c r="S33" s="243">
        <f t="shared" si="17"/>
        <v>19195.400000000001</v>
      </c>
      <c r="T33" s="243">
        <v>1.2</v>
      </c>
      <c r="U33" s="188">
        <f t="shared" si="18"/>
        <v>19196.600000000002</v>
      </c>
      <c r="V33" s="249">
        <v>5575</v>
      </c>
      <c r="W33" s="242">
        <v>32500</v>
      </c>
      <c r="X33" s="242"/>
      <c r="Y33" s="243">
        <f t="shared" si="19"/>
        <v>38075</v>
      </c>
      <c r="Z33" s="243"/>
      <c r="AA33" s="188">
        <f t="shared" si="20"/>
        <v>38075</v>
      </c>
      <c r="AB33" s="190">
        <f t="shared" si="12"/>
        <v>1.0307003889997266</v>
      </c>
      <c r="AC33" s="3"/>
      <c r="AD33" s="3"/>
    </row>
    <row r="34" spans="1:30" x14ac:dyDescent="0.25">
      <c r="A34" s="3"/>
      <c r="B34" s="191" t="s">
        <v>61</v>
      </c>
      <c r="C34" s="202" t="s">
        <v>127</v>
      </c>
      <c r="D34" s="248">
        <v>143</v>
      </c>
      <c r="E34" s="242">
        <v>37920.5</v>
      </c>
      <c r="F34" s="242"/>
      <c r="G34" s="243">
        <f t="shared" si="13"/>
        <v>38063.5</v>
      </c>
      <c r="H34" s="243">
        <v>1.1000000000000001</v>
      </c>
      <c r="I34" s="188">
        <f t="shared" si="14"/>
        <v>38064.6</v>
      </c>
      <c r="J34" s="245">
        <v>140.9</v>
      </c>
      <c r="K34" s="246">
        <v>36350</v>
      </c>
      <c r="L34" s="246"/>
      <c r="M34" s="247">
        <f t="shared" si="15"/>
        <v>36490.9</v>
      </c>
      <c r="N34" s="247"/>
      <c r="O34" s="189">
        <f t="shared" si="16"/>
        <v>36490.9</v>
      </c>
      <c r="P34" s="249"/>
      <c r="Q34" s="242">
        <v>19078.7</v>
      </c>
      <c r="R34" s="242"/>
      <c r="S34" s="243">
        <f t="shared" si="17"/>
        <v>19078.7</v>
      </c>
      <c r="T34" s="243"/>
      <c r="U34" s="188">
        <f t="shared" si="18"/>
        <v>19078.7</v>
      </c>
      <c r="V34" s="249">
        <v>5575</v>
      </c>
      <c r="W34" s="242">
        <v>32150</v>
      </c>
      <c r="X34" s="242"/>
      <c r="Y34" s="243">
        <f t="shared" si="19"/>
        <v>37725</v>
      </c>
      <c r="Z34" s="243"/>
      <c r="AA34" s="188">
        <f t="shared" si="20"/>
        <v>37725</v>
      </c>
      <c r="AB34" s="190">
        <f t="shared" si="12"/>
        <v>1.0338193905877904</v>
      </c>
      <c r="AC34" s="3"/>
      <c r="AD34" s="3"/>
    </row>
    <row r="35" spans="1:30" x14ac:dyDescent="0.25">
      <c r="A35" s="3"/>
      <c r="B35" s="191" t="s">
        <v>63</v>
      </c>
      <c r="C35" s="250" t="s">
        <v>64</v>
      </c>
      <c r="D35" s="248"/>
      <c r="E35" s="242">
        <v>333.1</v>
      </c>
      <c r="F35" s="242"/>
      <c r="G35" s="243">
        <f t="shared" si="13"/>
        <v>333.1</v>
      </c>
      <c r="H35" s="243"/>
      <c r="I35" s="188">
        <f t="shared" si="14"/>
        <v>333.1</v>
      </c>
      <c r="J35" s="245"/>
      <c r="K35" s="246">
        <v>450</v>
      </c>
      <c r="L35" s="246"/>
      <c r="M35" s="247">
        <f>SUM(J35:L35)</f>
        <v>450</v>
      </c>
      <c r="N35" s="247"/>
      <c r="O35" s="189">
        <f t="shared" si="16"/>
        <v>450</v>
      </c>
      <c r="P35" s="249"/>
      <c r="Q35" s="242">
        <v>116.7</v>
      </c>
      <c r="R35" s="242"/>
      <c r="S35" s="243">
        <f t="shared" si="17"/>
        <v>116.7</v>
      </c>
      <c r="T35" s="243"/>
      <c r="U35" s="188">
        <f t="shared" si="18"/>
        <v>116.7</v>
      </c>
      <c r="V35" s="249"/>
      <c r="W35" s="242">
        <v>350</v>
      </c>
      <c r="X35" s="242"/>
      <c r="Y35" s="243">
        <f t="shared" si="19"/>
        <v>350</v>
      </c>
      <c r="Z35" s="243"/>
      <c r="AA35" s="188">
        <f t="shared" si="20"/>
        <v>350</v>
      </c>
      <c r="AB35" s="190">
        <f t="shared" si="12"/>
        <v>0.77777777777777779</v>
      </c>
      <c r="AC35" s="3"/>
      <c r="AD35" s="3"/>
    </row>
    <row r="36" spans="1:30" x14ac:dyDescent="0.25">
      <c r="A36" s="3"/>
      <c r="B36" s="191" t="s">
        <v>65</v>
      </c>
      <c r="C36" s="206" t="s">
        <v>66</v>
      </c>
      <c r="D36" s="248">
        <v>60.1</v>
      </c>
      <c r="E36" s="242">
        <v>12713.3</v>
      </c>
      <c r="F36" s="242"/>
      <c r="G36" s="243">
        <f t="shared" si="13"/>
        <v>12773.4</v>
      </c>
      <c r="H36" s="243">
        <v>0.4</v>
      </c>
      <c r="I36" s="188">
        <f t="shared" si="14"/>
        <v>12773.8</v>
      </c>
      <c r="J36" s="245">
        <v>57.1</v>
      </c>
      <c r="K36" s="246">
        <v>12438.4</v>
      </c>
      <c r="L36" s="246"/>
      <c r="M36" s="247">
        <f t="shared" ref="M36" si="21">SUM(J36:L36)</f>
        <v>12495.5</v>
      </c>
      <c r="N36" s="247"/>
      <c r="O36" s="189">
        <f t="shared" si="16"/>
        <v>12495.5</v>
      </c>
      <c r="P36" s="249">
        <v>9.4</v>
      </c>
      <c r="Q36" s="242">
        <v>6372.1</v>
      </c>
      <c r="R36" s="242"/>
      <c r="S36" s="243">
        <f t="shared" si="17"/>
        <v>6381.5</v>
      </c>
      <c r="T36" s="243">
        <v>0.4</v>
      </c>
      <c r="U36" s="188">
        <f t="shared" si="18"/>
        <v>6381.9</v>
      </c>
      <c r="V36" s="249">
        <v>2056.3000000000002</v>
      </c>
      <c r="W36" s="242">
        <v>11188.2</v>
      </c>
      <c r="X36" s="242"/>
      <c r="Y36" s="243">
        <f t="shared" si="19"/>
        <v>13244.5</v>
      </c>
      <c r="Z36" s="243"/>
      <c r="AA36" s="188">
        <f t="shared" si="20"/>
        <v>13244.5</v>
      </c>
      <c r="AB36" s="190">
        <f t="shared" si="12"/>
        <v>1.0599415789684286</v>
      </c>
      <c r="AC36" s="3"/>
      <c r="AD36" s="3"/>
    </row>
    <row r="37" spans="1:30" x14ac:dyDescent="0.25">
      <c r="A37" s="3"/>
      <c r="B37" s="191" t="s">
        <v>67</v>
      </c>
      <c r="C37" s="206" t="s">
        <v>68</v>
      </c>
      <c r="D37" s="242"/>
      <c r="E37" s="242"/>
      <c r="F37" s="242">
        <v>116.5</v>
      </c>
      <c r="G37" s="243">
        <f t="shared" si="13"/>
        <v>116.5</v>
      </c>
      <c r="H37" s="243"/>
      <c r="I37" s="188">
        <f t="shared" si="14"/>
        <v>116.5</v>
      </c>
      <c r="J37" s="245"/>
      <c r="K37" s="246"/>
      <c r="L37" s="246">
        <v>130</v>
      </c>
      <c r="M37" s="247">
        <f t="shared" si="15"/>
        <v>130</v>
      </c>
      <c r="N37" s="247"/>
      <c r="O37" s="189">
        <f t="shared" si="16"/>
        <v>130</v>
      </c>
      <c r="P37" s="244"/>
      <c r="Q37" s="242"/>
      <c r="R37" s="242">
        <v>28.8</v>
      </c>
      <c r="S37" s="243">
        <f t="shared" si="17"/>
        <v>28.8</v>
      </c>
      <c r="T37" s="243"/>
      <c r="U37" s="188">
        <f t="shared" si="18"/>
        <v>28.8</v>
      </c>
      <c r="V37" s="244"/>
      <c r="W37" s="242"/>
      <c r="X37" s="242">
        <v>120</v>
      </c>
      <c r="Y37" s="243">
        <f t="shared" si="19"/>
        <v>120</v>
      </c>
      <c r="Z37" s="243"/>
      <c r="AA37" s="188">
        <f t="shared" si="20"/>
        <v>120</v>
      </c>
      <c r="AB37" s="190">
        <f t="shared" si="12"/>
        <v>0.92307692307692313</v>
      </c>
      <c r="AC37" s="3"/>
      <c r="AD37" s="3"/>
    </row>
    <row r="38" spans="1:30" x14ac:dyDescent="0.25">
      <c r="A38" s="3"/>
      <c r="B38" s="191" t="s">
        <v>69</v>
      </c>
      <c r="C38" s="206" t="s">
        <v>70</v>
      </c>
      <c r="D38" s="242">
        <v>1083.0999999999999</v>
      </c>
      <c r="E38" s="242"/>
      <c r="F38" s="242">
        <v>988.2</v>
      </c>
      <c r="G38" s="243">
        <f t="shared" si="13"/>
        <v>2071.3000000000002</v>
      </c>
      <c r="H38" s="243"/>
      <c r="I38" s="188">
        <f t="shared" si="14"/>
        <v>2071.3000000000002</v>
      </c>
      <c r="J38" s="245">
        <v>1091.5999999999999</v>
      </c>
      <c r="K38" s="246"/>
      <c r="L38" s="246">
        <v>244.7</v>
      </c>
      <c r="M38" s="247">
        <f t="shared" si="15"/>
        <v>1336.3</v>
      </c>
      <c r="N38" s="247"/>
      <c r="O38" s="189">
        <f t="shared" si="16"/>
        <v>1336.3</v>
      </c>
      <c r="P38" s="244">
        <v>553.9</v>
      </c>
      <c r="Q38" s="242"/>
      <c r="R38" s="242">
        <v>207.7</v>
      </c>
      <c r="S38" s="243">
        <f t="shared" si="17"/>
        <v>761.59999999999991</v>
      </c>
      <c r="T38" s="243"/>
      <c r="U38" s="188">
        <f t="shared" si="18"/>
        <v>761.59999999999991</v>
      </c>
      <c r="V38" s="244">
        <v>1141.5999999999999</v>
      </c>
      <c r="W38" s="242"/>
      <c r="X38" s="242">
        <v>590.20000000000005</v>
      </c>
      <c r="Y38" s="243">
        <f t="shared" si="19"/>
        <v>1731.8</v>
      </c>
      <c r="Z38" s="243"/>
      <c r="AA38" s="188">
        <f t="shared" si="20"/>
        <v>1731.8</v>
      </c>
      <c r="AB38" s="190">
        <f t="shared" si="12"/>
        <v>1.2959664745940283</v>
      </c>
      <c r="AC38" s="3"/>
      <c r="AD38" s="3"/>
    </row>
    <row r="39" spans="1:30" ht="15.75" thickBot="1" x14ac:dyDescent="0.3">
      <c r="A39" s="3"/>
      <c r="B39" s="409" t="s">
        <v>71</v>
      </c>
      <c r="C39" s="251" t="s">
        <v>72</v>
      </c>
      <c r="D39" s="85">
        <v>1370.1</v>
      </c>
      <c r="E39" s="85">
        <v>1573.5</v>
      </c>
      <c r="F39" s="85">
        <v>40.700000000000003</v>
      </c>
      <c r="G39" s="243">
        <f t="shared" si="13"/>
        <v>2984.2999999999997</v>
      </c>
      <c r="H39" s="252"/>
      <c r="I39" s="215">
        <f t="shared" si="14"/>
        <v>2984.2999999999997</v>
      </c>
      <c r="J39" s="410">
        <v>600</v>
      </c>
      <c r="K39" s="411">
        <v>1200</v>
      </c>
      <c r="L39" s="411">
        <v>480</v>
      </c>
      <c r="M39" s="412">
        <f t="shared" si="15"/>
        <v>2280</v>
      </c>
      <c r="N39" s="412"/>
      <c r="O39" s="216">
        <f t="shared" si="16"/>
        <v>2280</v>
      </c>
      <c r="P39" s="253">
        <v>214.7</v>
      </c>
      <c r="Q39" s="85">
        <v>474</v>
      </c>
      <c r="R39" s="85">
        <v>3.7</v>
      </c>
      <c r="S39" s="252">
        <f t="shared" si="17"/>
        <v>692.40000000000009</v>
      </c>
      <c r="T39" s="252"/>
      <c r="U39" s="215">
        <f t="shared" si="18"/>
        <v>692.40000000000009</v>
      </c>
      <c r="V39" s="253">
        <v>1474.1</v>
      </c>
      <c r="W39" s="85">
        <v>761.8</v>
      </c>
      <c r="X39" s="85">
        <v>410</v>
      </c>
      <c r="Y39" s="252">
        <f t="shared" si="19"/>
        <v>2645.8999999999996</v>
      </c>
      <c r="Z39" s="252"/>
      <c r="AA39" s="215">
        <f t="shared" si="20"/>
        <v>2645.8999999999996</v>
      </c>
      <c r="AB39" s="217">
        <f t="shared" si="12"/>
        <v>1.1604824561403506</v>
      </c>
      <c r="AC39" s="3"/>
      <c r="AD39" s="3"/>
    </row>
    <row r="40" spans="1:30" ht="15.75" thickBot="1" x14ac:dyDescent="0.3">
      <c r="A40" s="3"/>
      <c r="B40" s="218" t="s">
        <v>73</v>
      </c>
      <c r="C40" s="255" t="s">
        <v>74</v>
      </c>
      <c r="D40" s="256">
        <f>SUM(D36:D39)+SUM(D29:D33)</f>
        <v>9724.5999999999985</v>
      </c>
      <c r="E40" s="256">
        <f>SUM(E36:E39)+SUM(E29:E33)</f>
        <v>53161.2</v>
      </c>
      <c r="F40" s="256">
        <f>SUM(F36:F39)+SUM(F29:F33)</f>
        <v>3963.7000000000003</v>
      </c>
      <c r="G40" s="257">
        <f>SUM(D40:F40)</f>
        <v>66849.5</v>
      </c>
      <c r="H40" s="258">
        <f>SUM(H29:H33)+SUM(H36:H39)</f>
        <v>107.1</v>
      </c>
      <c r="I40" s="259">
        <f>SUM(I36:I39)+SUM(I29:I33)</f>
        <v>66956.599999999991</v>
      </c>
      <c r="J40" s="260">
        <f>SUM(J36:J39)+SUM(J29:J33)</f>
        <v>9252.2000000000007</v>
      </c>
      <c r="K40" s="260">
        <f>SUM(K36:K39)+SUM(K29:K33)</f>
        <v>51068.4</v>
      </c>
      <c r="L40" s="260">
        <f>SUM(L36:L39)+SUM(L29:L33)</f>
        <v>3642.7</v>
      </c>
      <c r="M40" s="261">
        <f>SUM(J40:L40)</f>
        <v>63963.3</v>
      </c>
      <c r="N40" s="262">
        <f>SUM(N29:N33)+SUM(N36:N39)</f>
        <v>370</v>
      </c>
      <c r="O40" s="263">
        <f>SUM(O36:O39)+SUM(O29:O33)</f>
        <v>64333.3</v>
      </c>
      <c r="P40" s="256">
        <f>SUM(P36:P39)+SUM(P29:P33)</f>
        <v>4117.1000000000004</v>
      </c>
      <c r="Q40" s="256">
        <f>SUM(Q36:Q39)+SUM(Q29:Q33)</f>
        <v>26314.800000000003</v>
      </c>
      <c r="R40" s="256">
        <f>SUM(R36:R39)+SUM(R29:R33)</f>
        <v>1892.3</v>
      </c>
      <c r="S40" s="257">
        <f>SUM(P40:R40)</f>
        <v>32324.2</v>
      </c>
      <c r="T40" s="258">
        <f>SUM(T29:T33)+SUM(T36:T39)</f>
        <v>39.9</v>
      </c>
      <c r="U40" s="259">
        <f>SUM(U36:U39)+SUM(U29:U33)</f>
        <v>32364.1</v>
      </c>
      <c r="V40" s="256">
        <f>SUM(V36:V39)+SUM(V29:V33)</f>
        <v>17596</v>
      </c>
      <c r="W40" s="256">
        <f>SUM(W36:W39)+SUM(W29:W33)</f>
        <v>45000</v>
      </c>
      <c r="X40" s="256">
        <f>SUM(X36:X39)+SUM(X29:X33)</f>
        <v>3920.2</v>
      </c>
      <c r="Y40" s="257">
        <f>SUM(V40:X40)</f>
        <v>66516.2</v>
      </c>
      <c r="Z40" s="258">
        <f>SUM(Z29:Z33)+SUM(Z36:Z39)</f>
        <v>370</v>
      </c>
      <c r="AA40" s="259">
        <f>SUM(AA36:AA39)+SUM(AA29:AA33)</f>
        <v>66886.2</v>
      </c>
      <c r="AB40" s="264">
        <f t="shared" si="12"/>
        <v>1.0396824039805201</v>
      </c>
      <c r="AC40" s="3"/>
      <c r="AD40" s="3"/>
    </row>
    <row r="41" spans="1:30" ht="19.5" thickBot="1" x14ac:dyDescent="0.35">
      <c r="A41" s="3"/>
      <c r="B41" s="265" t="s">
        <v>75</v>
      </c>
      <c r="C41" s="266" t="s">
        <v>76</v>
      </c>
      <c r="D41" s="267">
        <f t="shared" ref="D41:AA41" si="22">D25-D40</f>
        <v>-235.89999999999782</v>
      </c>
      <c r="E41" s="267">
        <f t="shared" si="22"/>
        <v>0</v>
      </c>
      <c r="F41" s="267">
        <f t="shared" si="22"/>
        <v>515.09999999999991</v>
      </c>
      <c r="G41" s="268">
        <f t="shared" si="22"/>
        <v>279.19999999999709</v>
      </c>
      <c r="H41" s="268">
        <f t="shared" si="22"/>
        <v>264.39999999999998</v>
      </c>
      <c r="I41" s="269">
        <f t="shared" si="22"/>
        <v>543.60000000000582</v>
      </c>
      <c r="J41" s="267">
        <f t="shared" si="22"/>
        <v>0</v>
      </c>
      <c r="K41" s="267">
        <f t="shared" si="22"/>
        <v>0</v>
      </c>
      <c r="L41" s="267">
        <f t="shared" si="22"/>
        <v>0</v>
      </c>
      <c r="M41" s="270">
        <f t="shared" si="22"/>
        <v>0</v>
      </c>
      <c r="N41" s="270">
        <f t="shared" si="22"/>
        <v>0</v>
      </c>
      <c r="O41" s="271">
        <f t="shared" si="22"/>
        <v>0</v>
      </c>
      <c r="P41" s="267">
        <f t="shared" si="22"/>
        <v>1036.6999999999998</v>
      </c>
      <c r="Q41" s="267">
        <f t="shared" si="22"/>
        <v>0</v>
      </c>
      <c r="R41" s="267">
        <f t="shared" si="22"/>
        <v>234.70000000000005</v>
      </c>
      <c r="S41" s="268">
        <f t="shared" si="22"/>
        <v>1271.3999999999978</v>
      </c>
      <c r="T41" s="268">
        <f t="shared" si="22"/>
        <v>157</v>
      </c>
      <c r="U41" s="269">
        <f t="shared" si="22"/>
        <v>1428.4000000000015</v>
      </c>
      <c r="V41" s="267">
        <f t="shared" si="22"/>
        <v>0</v>
      </c>
      <c r="W41" s="267">
        <f t="shared" si="22"/>
        <v>0</v>
      </c>
      <c r="X41" s="267">
        <f t="shared" si="22"/>
        <v>0</v>
      </c>
      <c r="Y41" s="268">
        <f t="shared" si="22"/>
        <v>0</v>
      </c>
      <c r="Z41" s="268">
        <f t="shared" si="22"/>
        <v>0</v>
      </c>
      <c r="AA41" s="269">
        <f t="shared" si="22"/>
        <v>0</v>
      </c>
      <c r="AB41" s="272" t="e">
        <f t="shared" si="12"/>
        <v>#DIV/0!</v>
      </c>
      <c r="AC41" s="3"/>
      <c r="AD41" s="3"/>
    </row>
    <row r="42" spans="1:30" ht="15.75" thickBot="1" x14ac:dyDescent="0.3">
      <c r="A42" s="3"/>
      <c r="B42" s="273" t="s">
        <v>77</v>
      </c>
      <c r="C42" s="274" t="s">
        <v>78</v>
      </c>
      <c r="D42" s="275"/>
      <c r="E42" s="276"/>
      <c r="F42" s="276"/>
      <c r="G42" s="277"/>
      <c r="H42" s="278"/>
      <c r="I42" s="279">
        <f>I41-D16</f>
        <v>-8356.3999999999942</v>
      </c>
      <c r="J42" s="275"/>
      <c r="K42" s="276"/>
      <c r="L42" s="276"/>
      <c r="M42" s="277"/>
      <c r="N42" s="280"/>
      <c r="O42" s="279">
        <f>O41-J16</f>
        <v>-9053.7000000000007</v>
      </c>
      <c r="P42" s="275"/>
      <c r="Q42" s="276"/>
      <c r="R42" s="276"/>
      <c r="S42" s="277"/>
      <c r="T42" s="280"/>
      <c r="U42" s="279">
        <f>U41-P16</f>
        <v>-3720.7999999999984</v>
      </c>
      <c r="V42" s="275"/>
      <c r="W42" s="276"/>
      <c r="X42" s="276"/>
      <c r="Y42" s="277"/>
      <c r="Z42" s="280"/>
      <c r="AA42" s="279">
        <f>AA41-V16</f>
        <v>-9249</v>
      </c>
      <c r="AB42" s="190">
        <f t="shared" si="12"/>
        <v>1.0215712912952715</v>
      </c>
      <c r="AC42" s="3"/>
      <c r="AD42" s="3"/>
    </row>
    <row r="43" spans="1:30" ht="8.25" customHeight="1" thickBot="1" x14ac:dyDescent="0.3">
      <c r="A43" s="3"/>
      <c r="B43" s="281"/>
      <c r="C43" s="282"/>
      <c r="D43" s="283"/>
      <c r="E43" s="284"/>
      <c r="F43" s="284"/>
      <c r="G43" s="3"/>
      <c r="H43" s="284"/>
      <c r="I43" s="284"/>
      <c r="J43" s="283"/>
      <c r="K43" s="284"/>
      <c r="L43" s="284"/>
      <c r="M43" s="3"/>
      <c r="N43" s="284"/>
      <c r="O43" s="284"/>
      <c r="P43" s="284"/>
      <c r="Q43" s="284"/>
      <c r="R43" s="284"/>
      <c r="S43" s="284"/>
      <c r="T43" s="284"/>
      <c r="U43" s="284"/>
      <c r="V43" s="3"/>
      <c r="W43" s="3"/>
      <c r="X43" s="3"/>
      <c r="Y43" s="3"/>
      <c r="Z43" s="3"/>
      <c r="AA43" s="3"/>
      <c r="AB43" s="3"/>
      <c r="AC43" s="3"/>
      <c r="AD43" s="3"/>
    </row>
    <row r="44" spans="1:30" ht="15.75" customHeight="1" thickBot="1" x14ac:dyDescent="0.3">
      <c r="A44" s="3"/>
      <c r="B44" s="281"/>
      <c r="C44" s="641" t="s">
        <v>79</v>
      </c>
      <c r="D44" s="123" t="s">
        <v>80</v>
      </c>
      <c r="E44" s="285" t="s">
        <v>81</v>
      </c>
      <c r="F44" s="286" t="s">
        <v>82</v>
      </c>
      <c r="G44" s="284"/>
      <c r="H44" s="284"/>
      <c r="I44" s="287"/>
      <c r="J44" s="123" t="s">
        <v>80</v>
      </c>
      <c r="K44" s="285" t="s">
        <v>81</v>
      </c>
      <c r="L44" s="286" t="s">
        <v>82</v>
      </c>
      <c r="M44" s="284"/>
      <c r="N44" s="284"/>
      <c r="O44" s="284"/>
      <c r="P44" s="123" t="s">
        <v>80</v>
      </c>
      <c r="Q44" s="285" t="s">
        <v>81</v>
      </c>
      <c r="R44" s="286" t="s">
        <v>82</v>
      </c>
      <c r="S44" s="3"/>
      <c r="T44" s="3"/>
      <c r="U44" s="3"/>
      <c r="V44" s="123" t="s">
        <v>80</v>
      </c>
      <c r="W44" s="285" t="s">
        <v>81</v>
      </c>
      <c r="X44" s="286" t="s">
        <v>82</v>
      </c>
      <c r="Y44" s="3"/>
      <c r="Z44" s="3"/>
      <c r="AA44" s="3"/>
      <c r="AB44" s="3"/>
      <c r="AC44" s="3"/>
      <c r="AD44" s="3"/>
    </row>
    <row r="45" spans="1:30" ht="15.75" thickBot="1" x14ac:dyDescent="0.3">
      <c r="A45" s="3"/>
      <c r="B45" s="281"/>
      <c r="C45" s="642"/>
      <c r="D45" s="288">
        <v>887.6</v>
      </c>
      <c r="E45" s="289">
        <v>887.6</v>
      </c>
      <c r="F45" s="290">
        <v>0</v>
      </c>
      <c r="G45" s="284"/>
      <c r="H45" s="284"/>
      <c r="I45" s="287"/>
      <c r="J45" s="288">
        <v>967.8</v>
      </c>
      <c r="K45" s="289">
        <v>967.8</v>
      </c>
      <c r="L45" s="290">
        <v>0</v>
      </c>
      <c r="M45" s="291"/>
      <c r="N45" s="291"/>
      <c r="O45" s="291"/>
      <c r="P45" s="288">
        <v>483.3</v>
      </c>
      <c r="Q45" s="289">
        <v>483.3</v>
      </c>
      <c r="R45" s="290">
        <v>0</v>
      </c>
      <c r="S45" s="3"/>
      <c r="T45" s="3"/>
      <c r="U45" s="3"/>
      <c r="V45" s="288">
        <v>967.8</v>
      </c>
      <c r="W45" s="289">
        <v>967.8</v>
      </c>
      <c r="X45" s="290">
        <v>0</v>
      </c>
      <c r="Y45" s="3"/>
      <c r="Z45" s="3"/>
      <c r="AA45" s="3"/>
      <c r="AB45" s="3"/>
      <c r="AC45" s="3"/>
      <c r="AD45" s="3"/>
    </row>
    <row r="46" spans="1:30" ht="8.25" customHeight="1" thickBot="1" x14ac:dyDescent="0.3">
      <c r="A46" s="3"/>
      <c r="B46" s="281"/>
      <c r="C46" s="282"/>
      <c r="D46" s="291"/>
      <c r="E46" s="284"/>
      <c r="F46" s="284"/>
      <c r="G46" s="284"/>
      <c r="H46" s="284"/>
      <c r="I46" s="287"/>
      <c r="J46" s="284"/>
      <c r="K46" s="284"/>
      <c r="L46" s="284"/>
      <c r="M46" s="284"/>
      <c r="N46" s="284"/>
      <c r="O46" s="287"/>
      <c r="P46" s="287"/>
      <c r="Q46" s="287"/>
      <c r="R46" s="287"/>
      <c r="S46" s="287"/>
      <c r="T46" s="287"/>
      <c r="U46" s="287"/>
      <c r="V46" s="3"/>
      <c r="W46" s="3"/>
      <c r="X46" s="3"/>
      <c r="Y46" s="3"/>
      <c r="Z46" s="3"/>
      <c r="AA46" s="3"/>
      <c r="AB46" s="3"/>
      <c r="AC46" s="3"/>
      <c r="AD46" s="3"/>
    </row>
    <row r="47" spans="1:30" ht="37.5" customHeight="1" thickBot="1" x14ac:dyDescent="0.3">
      <c r="A47" s="3"/>
      <c r="B47" s="281"/>
      <c r="C47" s="641" t="s">
        <v>83</v>
      </c>
      <c r="D47" s="131" t="s">
        <v>84</v>
      </c>
      <c r="E47" s="292" t="s">
        <v>85</v>
      </c>
      <c r="F47" s="284"/>
      <c r="G47" s="284"/>
      <c r="H47" s="284"/>
      <c r="I47" s="287"/>
      <c r="J47" s="131" t="s">
        <v>84</v>
      </c>
      <c r="K47" s="292" t="s">
        <v>85</v>
      </c>
      <c r="L47" s="293"/>
      <c r="M47" s="293"/>
      <c r="N47" s="3"/>
      <c r="O47" s="3"/>
      <c r="P47" s="131" t="s">
        <v>84</v>
      </c>
      <c r="Q47" s="292" t="s">
        <v>85</v>
      </c>
      <c r="R47" s="3"/>
      <c r="S47" s="3"/>
      <c r="T47" s="3"/>
      <c r="U47" s="3"/>
      <c r="V47" s="131" t="s">
        <v>84</v>
      </c>
      <c r="W47" s="292" t="s">
        <v>85</v>
      </c>
      <c r="X47" s="3"/>
      <c r="Y47" s="3"/>
      <c r="Z47" s="3"/>
      <c r="AA47" s="3"/>
      <c r="AB47" s="3"/>
      <c r="AC47" s="3"/>
      <c r="AD47" s="3"/>
    </row>
    <row r="48" spans="1:30" ht="15.75" thickBot="1" x14ac:dyDescent="0.3">
      <c r="A48" s="3"/>
      <c r="B48" s="294"/>
      <c r="C48" s="643"/>
      <c r="D48" s="288">
        <v>0</v>
      </c>
      <c r="E48" s="295">
        <v>0</v>
      </c>
      <c r="F48" s="284"/>
      <c r="G48" s="284"/>
      <c r="H48" s="284"/>
      <c r="I48" s="287"/>
      <c r="J48" s="288">
        <v>0</v>
      </c>
      <c r="K48" s="295">
        <v>0</v>
      </c>
      <c r="L48" s="296"/>
      <c r="M48" s="296"/>
      <c r="N48" s="3"/>
      <c r="O48" s="3"/>
      <c r="P48" s="288">
        <v>0</v>
      </c>
      <c r="Q48" s="295">
        <v>0</v>
      </c>
      <c r="R48" s="3"/>
      <c r="S48" s="3"/>
      <c r="T48" s="3"/>
      <c r="U48" s="3"/>
      <c r="V48" s="288">
        <v>0</v>
      </c>
      <c r="W48" s="295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294"/>
      <c r="C49" s="282"/>
      <c r="D49" s="284"/>
      <c r="E49" s="284"/>
      <c r="F49" s="284"/>
      <c r="G49" s="284"/>
      <c r="H49" s="284"/>
      <c r="I49" s="287"/>
      <c r="J49" s="284"/>
      <c r="K49" s="284"/>
      <c r="L49" s="284"/>
      <c r="M49" s="284"/>
      <c r="N49" s="284"/>
      <c r="O49" s="287"/>
      <c r="P49" s="287"/>
      <c r="Q49" s="287"/>
      <c r="R49" s="287"/>
      <c r="S49" s="287"/>
      <c r="T49" s="287"/>
      <c r="U49" s="287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3"/>
      <c r="B50" s="294"/>
      <c r="C50" s="297" t="s">
        <v>86</v>
      </c>
      <c r="D50" s="298" t="s">
        <v>87</v>
      </c>
      <c r="E50" s="298" t="s">
        <v>88</v>
      </c>
      <c r="F50" s="298" t="s">
        <v>89</v>
      </c>
      <c r="G50" s="298" t="s">
        <v>90</v>
      </c>
      <c r="H50" s="284"/>
      <c r="I50" s="3"/>
      <c r="J50" s="298" t="s">
        <v>87</v>
      </c>
      <c r="K50" s="298" t="s">
        <v>88</v>
      </c>
      <c r="L50" s="298" t="s">
        <v>89</v>
      </c>
      <c r="M50" s="298" t="s">
        <v>91</v>
      </c>
      <c r="N50" s="3"/>
      <c r="O50" s="3"/>
      <c r="P50" s="298" t="s">
        <v>87</v>
      </c>
      <c r="Q50" s="298" t="s">
        <v>88</v>
      </c>
      <c r="R50" s="298" t="s">
        <v>89</v>
      </c>
      <c r="S50" s="298" t="s">
        <v>91</v>
      </c>
      <c r="T50" s="3"/>
      <c r="U50" s="3"/>
      <c r="V50" s="298" t="s">
        <v>92</v>
      </c>
      <c r="W50" s="298" t="s">
        <v>88</v>
      </c>
      <c r="X50" s="298" t="s">
        <v>89</v>
      </c>
      <c r="Y50" s="298" t="s">
        <v>91</v>
      </c>
      <c r="Z50" s="3"/>
      <c r="AA50" s="3"/>
      <c r="AB50" s="3"/>
      <c r="AC50" s="3"/>
      <c r="AD50" s="3"/>
    </row>
    <row r="51" spans="1:30" x14ac:dyDescent="0.25">
      <c r="A51" s="3"/>
      <c r="B51" s="294"/>
      <c r="C51" s="299" t="s">
        <v>93</v>
      </c>
      <c r="D51" s="300"/>
      <c r="E51" s="300"/>
      <c r="F51" s="300"/>
      <c r="G51" s="301"/>
      <c r="H51" s="284"/>
      <c r="I51" s="3"/>
      <c r="J51" s="301"/>
      <c r="K51" s="300"/>
      <c r="L51" s="300"/>
      <c r="M51" s="301">
        <f>J51+K51-L51</f>
        <v>0</v>
      </c>
      <c r="N51" s="3"/>
      <c r="O51" s="3"/>
      <c r="P51" s="300"/>
      <c r="Q51" s="300"/>
      <c r="R51" s="300"/>
      <c r="S51" s="301">
        <f>P51+Q51-R51</f>
        <v>0</v>
      </c>
      <c r="T51" s="3"/>
      <c r="U51" s="3"/>
      <c r="V51" s="300"/>
      <c r="W51" s="300"/>
      <c r="X51" s="300"/>
      <c r="Y51" s="301">
        <f>V51+W51-X51</f>
        <v>0</v>
      </c>
      <c r="Z51" s="3"/>
      <c r="AA51" s="3"/>
      <c r="AB51" s="3"/>
      <c r="AC51" s="3"/>
      <c r="AD51" s="3"/>
    </row>
    <row r="52" spans="1:30" x14ac:dyDescent="0.25">
      <c r="A52" s="3"/>
      <c r="B52" s="294"/>
      <c r="C52" s="299" t="s">
        <v>94</v>
      </c>
      <c r="D52" s="300">
        <v>4171.5</v>
      </c>
      <c r="E52" s="300">
        <v>1287.7</v>
      </c>
      <c r="F52" s="300">
        <v>2867.4</v>
      </c>
      <c r="G52" s="301">
        <f>D52+E52-F52</f>
        <v>2591.7999999999997</v>
      </c>
      <c r="H52" s="284"/>
      <c r="I52" s="3"/>
      <c r="J52" s="301">
        <v>2591.8000000000002</v>
      </c>
      <c r="K52" s="300">
        <v>150</v>
      </c>
      <c r="L52" s="300">
        <v>1450</v>
      </c>
      <c r="M52" s="301">
        <f t="shared" ref="M52:M55" si="23">J52+K52-L52</f>
        <v>1291.8000000000002</v>
      </c>
      <c r="N52" s="3"/>
      <c r="O52" s="3"/>
      <c r="P52" s="300">
        <v>2591.8000000000002</v>
      </c>
      <c r="Q52" s="300">
        <v>568.6</v>
      </c>
      <c r="R52" s="300">
        <v>1396</v>
      </c>
      <c r="S52" s="301">
        <f t="shared" ref="S52:S55" si="24">P52+Q52-R52</f>
        <v>1764.4</v>
      </c>
      <c r="T52" s="3"/>
      <c r="U52" s="3"/>
      <c r="V52" s="300">
        <v>1291.8</v>
      </c>
      <c r="W52" s="300">
        <v>1150</v>
      </c>
      <c r="X52" s="300">
        <v>900</v>
      </c>
      <c r="Y52" s="301">
        <f t="shared" ref="Y52:Y55" si="25">V52+W52-X52</f>
        <v>1541.8000000000002</v>
      </c>
      <c r="Z52" s="3"/>
      <c r="AA52" s="3"/>
      <c r="AB52" s="3"/>
      <c r="AC52" s="3"/>
      <c r="AD52" s="3"/>
    </row>
    <row r="53" spans="1:30" x14ac:dyDescent="0.25">
      <c r="A53" s="3"/>
      <c r="B53" s="294"/>
      <c r="C53" s="299" t="s">
        <v>95</v>
      </c>
      <c r="D53" s="300">
        <v>391.5</v>
      </c>
      <c r="E53" s="300">
        <v>1383.1</v>
      </c>
      <c r="F53" s="300">
        <v>1536</v>
      </c>
      <c r="G53" s="301">
        <f t="shared" ref="G53:G55" si="26">D53+E53-F53</f>
        <v>238.59999999999991</v>
      </c>
      <c r="H53" s="284"/>
      <c r="I53" s="3"/>
      <c r="J53" s="301">
        <v>238.6</v>
      </c>
      <c r="K53" s="300">
        <v>1633.2</v>
      </c>
      <c r="L53" s="300">
        <v>1487.6</v>
      </c>
      <c r="M53" s="301">
        <f t="shared" si="23"/>
        <v>384.20000000000005</v>
      </c>
      <c r="N53" s="3"/>
      <c r="O53" s="3"/>
      <c r="P53" s="300">
        <v>238.6</v>
      </c>
      <c r="Q53" s="300">
        <v>700</v>
      </c>
      <c r="R53" s="300">
        <v>660.6</v>
      </c>
      <c r="S53" s="301">
        <f t="shared" si="24"/>
        <v>278</v>
      </c>
      <c r="T53" s="3"/>
      <c r="U53" s="3"/>
      <c r="V53" s="300">
        <v>384.2</v>
      </c>
      <c r="W53" s="300">
        <v>1500</v>
      </c>
      <c r="X53" s="300">
        <v>1400</v>
      </c>
      <c r="Y53" s="301">
        <f t="shared" si="25"/>
        <v>484.20000000000005</v>
      </c>
      <c r="Z53" s="3"/>
      <c r="AA53" s="3"/>
      <c r="AB53" s="3"/>
      <c r="AC53" s="3"/>
      <c r="AD53" s="3"/>
    </row>
    <row r="54" spans="1:30" x14ac:dyDescent="0.25">
      <c r="A54" s="3"/>
      <c r="B54" s="294"/>
      <c r="C54" s="299" t="s">
        <v>96</v>
      </c>
      <c r="D54" s="300">
        <v>420.8</v>
      </c>
      <c r="E54" s="300">
        <v>0</v>
      </c>
      <c r="F54" s="300">
        <v>0</v>
      </c>
      <c r="G54" s="301">
        <f t="shared" si="26"/>
        <v>420.8</v>
      </c>
      <c r="H54" s="284"/>
      <c r="I54" s="3"/>
      <c r="J54" s="301">
        <v>420.8</v>
      </c>
      <c r="K54" s="300">
        <v>0</v>
      </c>
      <c r="L54" s="300">
        <v>0</v>
      </c>
      <c r="M54" s="301">
        <f t="shared" si="23"/>
        <v>420.8</v>
      </c>
      <c r="N54" s="3"/>
      <c r="O54" s="3"/>
      <c r="P54" s="300">
        <v>420.8</v>
      </c>
      <c r="Q54" s="300">
        <v>0</v>
      </c>
      <c r="R54" s="300">
        <v>0</v>
      </c>
      <c r="S54" s="301">
        <f t="shared" si="24"/>
        <v>420.8</v>
      </c>
      <c r="T54" s="3"/>
      <c r="U54" s="3"/>
      <c r="V54" s="300">
        <v>420.8</v>
      </c>
      <c r="W54" s="300">
        <v>0</v>
      </c>
      <c r="X54" s="300">
        <v>0</v>
      </c>
      <c r="Y54" s="301">
        <f t="shared" si="25"/>
        <v>420.8</v>
      </c>
      <c r="Z54" s="3"/>
      <c r="AA54" s="3"/>
      <c r="AB54" s="3"/>
      <c r="AC54" s="3"/>
      <c r="AD54" s="3"/>
    </row>
    <row r="55" spans="1:30" x14ac:dyDescent="0.25">
      <c r="A55" s="3"/>
      <c r="B55" s="294"/>
      <c r="C55" s="302" t="s">
        <v>97</v>
      </c>
      <c r="D55" s="300">
        <v>390.3</v>
      </c>
      <c r="E55" s="300">
        <v>380.6</v>
      </c>
      <c r="F55" s="300">
        <v>509</v>
      </c>
      <c r="G55" s="301">
        <f t="shared" si="26"/>
        <v>261.90000000000009</v>
      </c>
      <c r="H55" s="284"/>
      <c r="I55" s="3"/>
      <c r="J55" s="301">
        <v>261.89999999999998</v>
      </c>
      <c r="K55" s="300">
        <v>360</v>
      </c>
      <c r="L55" s="300">
        <v>450</v>
      </c>
      <c r="M55" s="301">
        <f t="shared" si="23"/>
        <v>171.89999999999998</v>
      </c>
      <c r="N55" s="3"/>
      <c r="O55" s="3"/>
      <c r="P55" s="300">
        <v>261.89999999999998</v>
      </c>
      <c r="Q55" s="300">
        <v>190.7</v>
      </c>
      <c r="R55" s="300">
        <v>228.2</v>
      </c>
      <c r="S55" s="301">
        <f t="shared" si="24"/>
        <v>224.39999999999998</v>
      </c>
      <c r="T55" s="3"/>
      <c r="U55" s="3"/>
      <c r="V55" s="300">
        <v>171.9</v>
      </c>
      <c r="W55" s="300">
        <v>410</v>
      </c>
      <c r="X55" s="300">
        <v>450</v>
      </c>
      <c r="Y55" s="301">
        <f t="shared" si="25"/>
        <v>131.89999999999998</v>
      </c>
      <c r="Z55" s="3"/>
      <c r="AA55" s="3"/>
      <c r="AB55" s="3"/>
      <c r="AC55" s="3"/>
      <c r="AD55" s="3"/>
    </row>
    <row r="56" spans="1:30" ht="10.5" customHeight="1" x14ac:dyDescent="0.25">
      <c r="A56" s="3"/>
      <c r="B56" s="294"/>
      <c r="C56" s="282"/>
      <c r="D56" s="284"/>
      <c r="E56" s="284"/>
      <c r="F56" s="284"/>
      <c r="G56" s="284"/>
      <c r="H56" s="28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3"/>
      <c r="B57" s="294"/>
      <c r="C57" s="297" t="s">
        <v>98</v>
      </c>
      <c r="D57" s="298" t="s">
        <v>99</v>
      </c>
      <c r="E57" s="298" t="s">
        <v>100</v>
      </c>
      <c r="F57" s="284"/>
      <c r="G57" s="284"/>
      <c r="H57" s="284"/>
      <c r="I57" s="287"/>
      <c r="J57" s="298" t="s">
        <v>101</v>
      </c>
      <c r="K57" s="284"/>
      <c r="L57" s="284"/>
      <c r="M57" s="284"/>
      <c r="N57" s="284"/>
      <c r="O57" s="287"/>
      <c r="P57" s="298" t="s">
        <v>102</v>
      </c>
      <c r="Q57" s="287"/>
      <c r="R57" s="287"/>
      <c r="S57" s="3"/>
      <c r="T57" s="3"/>
      <c r="U57" s="3"/>
      <c r="V57" s="737" t="s">
        <v>98</v>
      </c>
      <c r="W57" s="737"/>
      <c r="X57" s="737"/>
      <c r="Y57" s="298" t="s">
        <v>101</v>
      </c>
      <c r="Z57" s="3"/>
      <c r="AA57" s="3"/>
      <c r="AB57" s="3"/>
      <c r="AC57" s="3"/>
      <c r="AD57" s="3"/>
    </row>
    <row r="58" spans="1:30" x14ac:dyDescent="0.25">
      <c r="A58" s="3"/>
      <c r="B58" s="294"/>
      <c r="C58" s="467" t="s">
        <v>128</v>
      </c>
      <c r="D58" s="468">
        <v>70</v>
      </c>
      <c r="E58" s="468">
        <v>72</v>
      </c>
      <c r="F58" s="284"/>
      <c r="G58" s="284"/>
      <c r="H58" s="284"/>
      <c r="I58" s="287"/>
      <c r="J58" s="303">
        <v>72</v>
      </c>
      <c r="K58" s="284"/>
      <c r="L58" s="284"/>
      <c r="M58" s="284"/>
      <c r="N58" s="284"/>
      <c r="O58" s="287"/>
      <c r="P58" s="303">
        <v>71</v>
      </c>
      <c r="Q58" s="287"/>
      <c r="R58" s="287"/>
      <c r="S58" s="3"/>
      <c r="T58" s="3"/>
      <c r="U58" s="3"/>
      <c r="V58" s="728" t="s">
        <v>128</v>
      </c>
      <c r="W58" s="728"/>
      <c r="X58" s="728"/>
      <c r="Y58" s="303">
        <v>72</v>
      </c>
      <c r="Z58" s="3"/>
      <c r="AA58" s="3"/>
      <c r="AB58" s="3"/>
      <c r="AC58" s="3"/>
      <c r="AD58" s="3"/>
    </row>
    <row r="59" spans="1:30" x14ac:dyDescent="0.25">
      <c r="A59" s="3"/>
      <c r="B59" s="294"/>
      <c r="C59" s="469"/>
      <c r="D59" s="470"/>
      <c r="E59" s="470"/>
      <c r="F59" s="284"/>
      <c r="G59" s="284"/>
      <c r="H59" s="284"/>
      <c r="I59" s="287"/>
      <c r="J59" s="291"/>
      <c r="K59" s="284"/>
      <c r="L59" s="284"/>
      <c r="M59" s="284"/>
      <c r="N59" s="284"/>
      <c r="O59" s="287"/>
      <c r="P59" s="291"/>
      <c r="Q59" s="287"/>
      <c r="R59" s="287"/>
      <c r="S59" s="3"/>
      <c r="T59" s="3"/>
      <c r="U59" s="3"/>
      <c r="V59" s="728" t="s">
        <v>129</v>
      </c>
      <c r="W59" s="728"/>
      <c r="X59" s="728"/>
      <c r="Y59" s="303">
        <v>17</v>
      </c>
      <c r="Z59" s="3"/>
      <c r="AA59" s="3"/>
      <c r="AB59" s="3"/>
      <c r="AC59" s="3"/>
      <c r="AD59" s="3"/>
    </row>
    <row r="60" spans="1:30" s="3" customFormat="1" x14ac:dyDescent="0.25">
      <c r="B60" s="294"/>
      <c r="C60" s="282"/>
      <c r="D60" s="291"/>
      <c r="E60" s="291"/>
      <c r="F60" s="284"/>
      <c r="G60" s="284"/>
      <c r="H60" s="284"/>
      <c r="I60" s="287"/>
      <c r="J60" s="291"/>
      <c r="K60" s="284"/>
      <c r="L60" s="284"/>
      <c r="M60" s="284"/>
      <c r="N60" s="284"/>
      <c r="O60" s="287"/>
      <c r="P60" s="291"/>
      <c r="Q60" s="287"/>
      <c r="R60" s="287"/>
      <c r="S60" s="287"/>
      <c r="T60" s="287"/>
      <c r="U60" s="287"/>
      <c r="V60" s="291"/>
    </row>
    <row r="61" spans="1:30" ht="48" customHeight="1" x14ac:dyDescent="0.25">
      <c r="A61" s="3"/>
      <c r="B61" s="294"/>
      <c r="C61" s="282"/>
      <c r="D61" s="729"/>
      <c r="E61" s="729"/>
      <c r="F61" s="284"/>
      <c r="G61" s="284"/>
      <c r="H61" s="284"/>
      <c r="I61" s="287"/>
      <c r="J61" s="471"/>
      <c r="K61" s="284"/>
      <c r="L61" s="284"/>
      <c r="M61" s="284"/>
      <c r="N61" s="284"/>
      <c r="O61" s="287"/>
      <c r="P61" s="471"/>
      <c r="Q61" s="287"/>
      <c r="R61" s="287"/>
      <c r="S61" s="287"/>
      <c r="T61" s="287"/>
      <c r="U61" s="287"/>
      <c r="V61" s="700" t="s">
        <v>130</v>
      </c>
      <c r="W61" s="701"/>
      <c r="X61" s="702"/>
      <c r="Y61" s="303">
        <v>5575</v>
      </c>
      <c r="Z61" s="3"/>
      <c r="AA61" s="565" t="s">
        <v>285</v>
      </c>
      <c r="AB61" s="475">
        <v>515.4</v>
      </c>
      <c r="AC61" s="3"/>
      <c r="AD61" s="3"/>
    </row>
    <row r="62" spans="1:30" s="3" customFormat="1" x14ac:dyDescent="0.25">
      <c r="B62" s="294"/>
      <c r="C62" s="282"/>
      <c r="D62" s="471"/>
      <c r="E62" s="471"/>
      <c r="F62" s="284"/>
      <c r="G62" s="284"/>
      <c r="H62" s="284"/>
      <c r="I62" s="287"/>
      <c r="J62" s="471"/>
      <c r="K62" s="284"/>
      <c r="L62" s="284"/>
      <c r="M62" s="284"/>
      <c r="N62" s="284"/>
      <c r="O62" s="287"/>
      <c r="P62" s="471"/>
      <c r="Q62" s="287"/>
      <c r="R62" s="287"/>
      <c r="S62" s="287"/>
      <c r="T62" s="287"/>
      <c r="U62" s="287"/>
      <c r="V62" s="291"/>
    </row>
    <row r="63" spans="1:30" x14ac:dyDescent="0.25">
      <c r="A63" s="3"/>
      <c r="B63" s="294"/>
      <c r="C63" s="3"/>
      <c r="D63" s="3"/>
      <c r="E63" s="3"/>
      <c r="F63" s="283"/>
      <c r="G63" s="284"/>
      <c r="H63" s="284"/>
      <c r="I63" s="287"/>
      <c r="J63" s="471"/>
      <c r="K63" s="471"/>
      <c r="L63" s="3"/>
      <c r="M63" s="172"/>
      <c r="N63" s="3"/>
      <c r="O63" s="3"/>
      <c r="P63" s="3"/>
      <c r="Q63" s="283"/>
      <c r="R63" s="3"/>
      <c r="S63" s="3"/>
      <c r="T63" s="3"/>
      <c r="U63" s="736" t="s">
        <v>131</v>
      </c>
      <c r="V63" s="736"/>
      <c r="W63" s="736"/>
      <c r="X63" s="736"/>
      <c r="Y63" s="474" t="s">
        <v>132</v>
      </c>
      <c r="Z63" s="3"/>
      <c r="AA63" s="566"/>
      <c r="AB63" s="120"/>
      <c r="AC63" s="3"/>
    </row>
    <row r="64" spans="1:30" x14ac:dyDescent="0.25">
      <c r="A64" s="3"/>
      <c r="B64" s="294"/>
      <c r="C64" s="3"/>
      <c r="D64" s="3"/>
      <c r="E64" s="3"/>
      <c r="F64" s="284"/>
      <c r="G64" s="284"/>
      <c r="H64" s="284"/>
      <c r="I64" s="287"/>
      <c r="J64" s="471"/>
      <c r="K64" s="471"/>
      <c r="L64" s="3"/>
      <c r="M64" s="172"/>
      <c r="N64" s="3"/>
      <c r="O64" s="3"/>
      <c r="P64" s="3"/>
      <c r="Q64" s="284"/>
      <c r="R64" s="3"/>
      <c r="S64" s="3"/>
      <c r="T64" s="3"/>
      <c r="U64" s="728" t="s">
        <v>134</v>
      </c>
      <c r="V64" s="728"/>
      <c r="W64" s="728"/>
      <c r="X64" s="728"/>
      <c r="Y64" s="380">
        <v>5575</v>
      </c>
      <c r="Z64" s="3"/>
      <c r="AA64" s="770" t="s">
        <v>229</v>
      </c>
      <c r="AB64" s="767">
        <v>6090.4</v>
      </c>
      <c r="AC64" s="3"/>
    </row>
    <row r="65" spans="1:30" x14ac:dyDescent="0.25">
      <c r="A65" s="3"/>
      <c r="B65" s="294"/>
      <c r="C65" s="3"/>
      <c r="D65" s="3"/>
      <c r="E65" s="3"/>
      <c r="F65" s="284"/>
      <c r="G65" s="284"/>
      <c r="H65" s="284"/>
      <c r="I65" s="287"/>
      <c r="J65" s="471"/>
      <c r="K65" s="471"/>
      <c r="L65" s="3"/>
      <c r="M65" s="172"/>
      <c r="N65" s="3"/>
      <c r="O65" s="3"/>
      <c r="P65" s="3"/>
      <c r="Q65" s="284"/>
      <c r="R65" s="3"/>
      <c r="S65" s="3"/>
      <c r="T65" s="3"/>
      <c r="U65" s="728" t="s">
        <v>136</v>
      </c>
      <c r="V65" s="728"/>
      <c r="W65" s="728"/>
      <c r="X65" s="728"/>
      <c r="Y65" s="380">
        <v>2056.3000000000002</v>
      </c>
      <c r="Z65" s="3"/>
      <c r="AA65" s="771"/>
      <c r="AB65" s="768"/>
      <c r="AC65" s="3"/>
    </row>
    <row r="66" spans="1:30" x14ac:dyDescent="0.25">
      <c r="A66" s="3"/>
      <c r="B66" s="294"/>
      <c r="C66" s="3"/>
      <c r="D66" s="3"/>
      <c r="E66" s="3"/>
      <c r="F66" s="284"/>
      <c r="G66" s="284"/>
      <c r="H66" s="284"/>
      <c r="I66" s="287"/>
      <c r="J66" s="471"/>
      <c r="K66" s="471"/>
      <c r="L66" s="3"/>
      <c r="M66" s="172"/>
      <c r="N66" s="3"/>
      <c r="O66" s="3"/>
      <c r="P66" s="3"/>
      <c r="Q66" s="284"/>
      <c r="R66" s="3"/>
      <c r="S66" s="3"/>
      <c r="T66" s="3"/>
      <c r="U66" s="728" t="s">
        <v>230</v>
      </c>
      <c r="V66" s="728"/>
      <c r="W66" s="728"/>
      <c r="X66" s="728"/>
      <c r="Y66" s="380">
        <v>0</v>
      </c>
      <c r="Z66" s="3"/>
      <c r="AA66" s="772"/>
      <c r="AB66" s="769"/>
      <c r="AC66" s="3"/>
    </row>
    <row r="67" spans="1:30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172"/>
      <c r="N67" s="3"/>
      <c r="O67" s="3"/>
      <c r="P67" s="3"/>
      <c r="Q67" s="3"/>
      <c r="R67" s="3"/>
      <c r="S67" s="3"/>
      <c r="T67" s="3"/>
      <c r="U67" s="728" t="s">
        <v>140</v>
      </c>
      <c r="V67" s="728"/>
      <c r="W67" s="728"/>
      <c r="X67" s="728"/>
      <c r="Y67" s="380">
        <v>55.7</v>
      </c>
      <c r="Z67" s="3"/>
      <c r="AA67" s="3"/>
      <c r="AB67" s="3"/>
      <c r="AC67" s="3"/>
    </row>
    <row r="68" spans="1:30" x14ac:dyDescent="0.25">
      <c r="A68" s="3"/>
      <c r="B68" s="294"/>
      <c r="C68" s="3"/>
      <c r="D68" s="3"/>
      <c r="E68" s="3"/>
      <c r="F68" s="284"/>
      <c r="G68" s="284"/>
      <c r="H68" s="284"/>
      <c r="I68" s="287"/>
      <c r="J68" s="296"/>
      <c r="K68" s="296"/>
      <c r="L68" s="3"/>
      <c r="M68" s="172"/>
      <c r="N68" s="3"/>
      <c r="O68" s="3"/>
      <c r="P68" s="3"/>
      <c r="Q68" s="284"/>
      <c r="R68" s="3"/>
      <c r="S68" s="3"/>
      <c r="T68" s="3"/>
      <c r="U68" s="728" t="s">
        <v>141</v>
      </c>
      <c r="V68" s="728"/>
      <c r="W68" s="728"/>
      <c r="X68" s="728"/>
      <c r="Y68" s="477">
        <f>SUM(Y69:Y72)</f>
        <v>660</v>
      </c>
      <c r="Z68" s="3"/>
      <c r="AA68" s="378" t="s">
        <v>133</v>
      </c>
      <c r="AB68" s="379"/>
      <c r="AC68" s="3"/>
    </row>
    <row r="69" spans="1:30" x14ac:dyDescent="0.25">
      <c r="A69" s="3"/>
      <c r="B69" s="294"/>
      <c r="C69" s="3"/>
      <c r="D69" s="3"/>
      <c r="E69" s="3"/>
      <c r="F69" s="284"/>
      <c r="G69" s="284"/>
      <c r="H69" s="284"/>
      <c r="I69" s="287"/>
      <c r="J69" s="471"/>
      <c r="K69" s="471"/>
      <c r="L69" s="3"/>
      <c r="M69" s="172"/>
      <c r="N69" s="3"/>
      <c r="O69" s="3"/>
      <c r="P69" s="3"/>
      <c r="Q69" s="284"/>
      <c r="R69" s="3"/>
      <c r="S69" s="3"/>
      <c r="T69" s="3"/>
      <c r="U69" s="727" t="s">
        <v>142</v>
      </c>
      <c r="V69" s="727"/>
      <c r="W69" s="727"/>
      <c r="X69" s="727"/>
      <c r="Y69" s="380">
        <v>300</v>
      </c>
      <c r="Z69" s="3"/>
      <c r="AA69" s="475" t="s">
        <v>135</v>
      </c>
      <c r="AB69" s="476">
        <v>486.5</v>
      </c>
      <c r="AC69" s="3"/>
    </row>
    <row r="70" spans="1:30" x14ac:dyDescent="0.25">
      <c r="A70" s="3"/>
      <c r="B70" s="294"/>
      <c r="C70" s="3"/>
      <c r="D70" s="3"/>
      <c r="E70" s="3"/>
      <c r="F70" s="284"/>
      <c r="G70" s="284"/>
      <c r="H70" s="284"/>
      <c r="I70" s="287"/>
      <c r="J70" s="471"/>
      <c r="K70" s="471"/>
      <c r="L70" s="3"/>
      <c r="M70" s="172"/>
      <c r="N70" s="3"/>
      <c r="O70" s="3"/>
      <c r="P70" s="3"/>
      <c r="Q70" s="284"/>
      <c r="R70" s="3"/>
      <c r="S70" s="3"/>
      <c r="T70" s="3"/>
      <c r="U70" s="727" t="s">
        <v>143</v>
      </c>
      <c r="V70" s="727"/>
      <c r="W70" s="727"/>
      <c r="X70" s="727"/>
      <c r="Y70" s="380">
        <v>60</v>
      </c>
      <c r="Z70" s="3"/>
      <c r="AA70" s="475" t="s">
        <v>137</v>
      </c>
      <c r="AB70" s="476">
        <v>76.900000000000006</v>
      </c>
      <c r="AC70" s="3"/>
    </row>
    <row r="71" spans="1:30" x14ac:dyDescent="0.25">
      <c r="A71" s="3"/>
      <c r="B71" s="294"/>
      <c r="C71" s="3"/>
      <c r="D71" s="3"/>
      <c r="E71" s="3"/>
      <c r="F71" s="284"/>
      <c r="G71" s="284"/>
      <c r="H71" s="284"/>
      <c r="I71" s="287"/>
      <c r="J71" s="471"/>
      <c r="K71" s="471"/>
      <c r="L71" s="3"/>
      <c r="M71" s="172"/>
      <c r="N71" s="3"/>
      <c r="O71" s="3"/>
      <c r="P71" s="3"/>
      <c r="Q71" s="284"/>
      <c r="R71" s="3"/>
      <c r="S71" s="3"/>
      <c r="T71" s="3"/>
      <c r="U71" s="727" t="s">
        <v>144</v>
      </c>
      <c r="V71" s="727"/>
      <c r="W71" s="727"/>
      <c r="X71" s="727"/>
      <c r="Y71" s="380">
        <v>15</v>
      </c>
      <c r="Z71" s="3"/>
      <c r="AA71" s="475" t="s">
        <v>139</v>
      </c>
      <c r="AB71" s="476">
        <v>837.6</v>
      </c>
      <c r="AC71" s="3"/>
    </row>
    <row r="72" spans="1:30" x14ac:dyDescent="0.25">
      <c r="A72" s="3"/>
      <c r="B72" s="294"/>
      <c r="C72" s="3"/>
      <c r="D72" s="3"/>
      <c r="E72" s="3"/>
      <c r="F72" s="284"/>
      <c r="G72" s="284"/>
      <c r="H72" s="284"/>
      <c r="I72" s="287"/>
      <c r="J72" s="471"/>
      <c r="K72" s="471"/>
      <c r="L72" s="3"/>
      <c r="M72" s="172"/>
      <c r="N72" s="3"/>
      <c r="O72" s="3"/>
      <c r="P72" s="3"/>
      <c r="Q72" s="284"/>
      <c r="R72" s="3"/>
      <c r="S72" s="3"/>
      <c r="T72" s="3"/>
      <c r="U72" s="727" t="s">
        <v>145</v>
      </c>
      <c r="V72" s="727"/>
      <c r="W72" s="727"/>
      <c r="X72" s="727"/>
      <c r="Y72" s="380">
        <v>285</v>
      </c>
      <c r="Z72" s="3"/>
      <c r="AA72" s="3"/>
      <c r="AB72" s="3"/>
      <c r="AC72" s="3"/>
    </row>
    <row r="73" spans="1:30" x14ac:dyDescent="0.25">
      <c r="A73" s="3"/>
      <c r="B73" s="294"/>
      <c r="C73" s="478"/>
      <c r="D73" s="284"/>
      <c r="E73" s="284"/>
      <c r="F73" s="284"/>
      <c r="G73" s="284"/>
      <c r="H73" s="284"/>
      <c r="I73" s="287"/>
      <c r="J73" s="284"/>
      <c r="K73" s="284"/>
      <c r="L73" s="3"/>
      <c r="M73" s="172"/>
      <c r="N73" s="3"/>
      <c r="O73" s="3"/>
      <c r="P73" s="3"/>
      <c r="Q73" s="384"/>
      <c r="R73" s="3"/>
      <c r="S73" s="3"/>
      <c r="T73" s="3"/>
      <c r="U73" s="287"/>
      <c r="V73" s="287"/>
      <c r="W73" s="287"/>
      <c r="X73" s="284"/>
      <c r="Y73" s="284">
        <f>SUM(Y64:Y68)</f>
        <v>8347</v>
      </c>
      <c r="Z73" s="3"/>
      <c r="AA73" s="3"/>
      <c r="AB73" s="3"/>
      <c r="AC73" s="3"/>
    </row>
    <row r="74" spans="1:30" x14ac:dyDescent="0.25">
      <c r="A74" s="3"/>
      <c r="B74" s="294"/>
      <c r="C74" s="282"/>
      <c r="D74" s="284"/>
      <c r="E74" s="284"/>
      <c r="F74" s="284"/>
      <c r="G74" s="284"/>
      <c r="H74" s="284"/>
      <c r="I74" s="287"/>
      <c r="J74" s="284"/>
      <c r="K74" s="284"/>
      <c r="L74" s="284"/>
      <c r="M74" s="284"/>
      <c r="N74" s="284"/>
      <c r="O74" s="287"/>
      <c r="P74" s="284"/>
      <c r="Q74" s="284"/>
      <c r="R74" s="284"/>
      <c r="S74" s="287"/>
      <c r="T74" s="287"/>
      <c r="U74" s="287"/>
      <c r="V74" s="284"/>
      <c r="W74" s="284"/>
      <c r="X74" s="284"/>
      <c r="Y74" s="3"/>
      <c r="Z74" s="3"/>
      <c r="AA74" s="3"/>
      <c r="AB74" s="3"/>
      <c r="AC74" s="3"/>
      <c r="AD74" s="3"/>
    </row>
    <row r="75" spans="1:30" x14ac:dyDescent="0.25">
      <c r="A75" s="3"/>
      <c r="B75" s="304" t="s">
        <v>103</v>
      </c>
      <c r="C75" s="305"/>
      <c r="D75" s="644"/>
      <c r="E75" s="644"/>
      <c r="F75" s="644"/>
      <c r="G75" s="644"/>
      <c r="H75" s="644"/>
      <c r="I75" s="644"/>
      <c r="J75" s="644"/>
      <c r="K75" s="644"/>
      <c r="L75" s="644"/>
      <c r="M75" s="644"/>
      <c r="N75" s="644"/>
      <c r="O75" s="644"/>
      <c r="P75" s="644"/>
      <c r="Q75" s="644"/>
      <c r="R75" s="644"/>
      <c r="S75" s="644"/>
      <c r="T75" s="644"/>
      <c r="U75" s="644"/>
      <c r="V75" s="306"/>
      <c r="W75" s="306"/>
      <c r="X75" s="306"/>
      <c r="Y75" s="306"/>
      <c r="Z75" s="306"/>
      <c r="AA75" s="306"/>
      <c r="AB75" s="307"/>
      <c r="AC75" s="3"/>
      <c r="AD75" s="3"/>
    </row>
    <row r="76" spans="1:30" x14ac:dyDescent="0.25">
      <c r="A76" s="3"/>
      <c r="B76" s="308"/>
      <c r="M76"/>
      <c r="AB76" s="309"/>
      <c r="AC76" s="3"/>
      <c r="AD76" s="3"/>
    </row>
    <row r="77" spans="1:30" x14ac:dyDescent="0.25">
      <c r="A77" s="3"/>
      <c r="B77" s="634" t="s">
        <v>286</v>
      </c>
      <c r="C77" s="635"/>
      <c r="D77" s="635"/>
      <c r="E77" s="635"/>
      <c r="F77" s="635"/>
      <c r="G77" s="635"/>
      <c r="H77" s="635"/>
      <c r="I77" s="635"/>
      <c r="J77" s="635"/>
      <c r="K77" s="635"/>
      <c r="L77" s="635"/>
      <c r="M77" s="635"/>
      <c r="N77" s="635"/>
      <c r="O77" s="635"/>
      <c r="P77" s="635"/>
      <c r="Q77" s="635"/>
      <c r="R77" s="635"/>
      <c r="S77" s="635"/>
      <c r="T77" s="635"/>
      <c r="U77" s="635"/>
      <c r="AB77" s="309"/>
      <c r="AC77" s="3"/>
      <c r="AD77" s="3"/>
    </row>
    <row r="78" spans="1:30" x14ac:dyDescent="0.25">
      <c r="A78" s="3"/>
      <c r="B78" s="634"/>
      <c r="C78" s="635"/>
      <c r="D78" s="635"/>
      <c r="E78" s="635"/>
      <c r="F78" s="635"/>
      <c r="G78" s="635"/>
      <c r="H78" s="635"/>
      <c r="I78" s="635"/>
      <c r="J78" s="635"/>
      <c r="K78" s="635"/>
      <c r="L78" s="635"/>
      <c r="M78" s="635"/>
      <c r="N78" s="635"/>
      <c r="O78" s="635"/>
      <c r="P78" s="635"/>
      <c r="Q78" s="635"/>
      <c r="R78" s="635"/>
      <c r="S78" s="635"/>
      <c r="T78" s="635"/>
      <c r="U78" s="635"/>
      <c r="AB78" s="309"/>
      <c r="AC78" s="3"/>
      <c r="AD78" s="3"/>
    </row>
    <row r="79" spans="1:30" x14ac:dyDescent="0.25">
      <c r="A79" s="3"/>
      <c r="B79" s="634"/>
      <c r="C79" s="635"/>
      <c r="D79" s="635"/>
      <c r="E79" s="635"/>
      <c r="F79" s="635"/>
      <c r="G79" s="635"/>
      <c r="H79" s="635"/>
      <c r="I79" s="635"/>
      <c r="J79" s="635"/>
      <c r="K79" s="635"/>
      <c r="L79" s="635"/>
      <c r="M79" s="635"/>
      <c r="N79" s="635"/>
      <c r="O79" s="635"/>
      <c r="P79" s="635"/>
      <c r="Q79" s="635"/>
      <c r="R79" s="635"/>
      <c r="S79" s="635"/>
      <c r="T79" s="635"/>
      <c r="U79" s="635"/>
      <c r="AB79" s="309"/>
      <c r="AC79" s="3"/>
      <c r="AD79" s="3"/>
    </row>
    <row r="80" spans="1:30" x14ac:dyDescent="0.25">
      <c r="A80" s="3"/>
      <c r="B80" s="310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AB80" s="309"/>
      <c r="AC80" s="3"/>
      <c r="AD80" s="3"/>
    </row>
    <row r="81" spans="1:30" x14ac:dyDescent="0.25">
      <c r="A81" s="3"/>
      <c r="B81" s="310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AB81" s="309"/>
      <c r="AC81" s="3"/>
      <c r="AD81" s="3"/>
    </row>
    <row r="82" spans="1:30" x14ac:dyDescent="0.25">
      <c r="A82" s="3"/>
      <c r="B82" s="310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AB82" s="309"/>
      <c r="AC82" s="3"/>
      <c r="AD82" s="3"/>
    </row>
    <row r="83" spans="1:30" x14ac:dyDescent="0.25">
      <c r="A83" s="3"/>
      <c r="B83" s="310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AB83" s="309"/>
      <c r="AC83" s="3"/>
      <c r="AD83" s="3"/>
    </row>
    <row r="84" spans="1:30" x14ac:dyDescent="0.25">
      <c r="A84" s="3"/>
      <c r="B84" s="310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AB84" s="309"/>
      <c r="AC84" s="3"/>
      <c r="AD84" s="3"/>
    </row>
    <row r="85" spans="1:30" x14ac:dyDescent="0.25">
      <c r="A85" s="3"/>
      <c r="B85" s="310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AB85" s="309"/>
      <c r="AC85" s="3"/>
      <c r="AD85" s="3"/>
    </row>
    <row r="86" spans="1:30" x14ac:dyDescent="0.25">
      <c r="A86" s="3"/>
      <c r="B86" s="310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AB86" s="309"/>
      <c r="AC86" s="3"/>
      <c r="AD86" s="3"/>
    </row>
    <row r="87" spans="1:30" x14ac:dyDescent="0.25">
      <c r="A87" s="3"/>
      <c r="B87" s="310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AB87" s="309"/>
      <c r="AC87" s="3"/>
      <c r="AD87" s="3"/>
    </row>
    <row r="88" spans="1:30" x14ac:dyDescent="0.25">
      <c r="A88" s="3"/>
      <c r="B88" s="310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AB88" s="309"/>
      <c r="AC88" s="3"/>
      <c r="AD88" s="3"/>
    </row>
    <row r="89" spans="1:30" x14ac:dyDescent="0.25">
      <c r="A89" s="3"/>
      <c r="B89" s="31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AB89" s="309"/>
      <c r="AC89" s="3"/>
      <c r="AD89" s="3"/>
    </row>
    <row r="90" spans="1:30" x14ac:dyDescent="0.25">
      <c r="A90" s="3"/>
      <c r="B90" s="310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AB90" s="309"/>
      <c r="AC90" s="3"/>
      <c r="AD90" s="3"/>
    </row>
    <row r="91" spans="1:30" x14ac:dyDescent="0.25">
      <c r="A91" s="3"/>
      <c r="B91" s="310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AB91" s="309"/>
      <c r="AC91" s="3"/>
      <c r="AD91" s="3"/>
    </row>
    <row r="92" spans="1:30" x14ac:dyDescent="0.25">
      <c r="A92" s="3"/>
      <c r="B92" s="314"/>
      <c r="C92" s="315"/>
      <c r="D92" s="316"/>
      <c r="E92" s="316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8"/>
      <c r="W92" s="318"/>
      <c r="X92" s="318"/>
      <c r="Y92" s="318"/>
      <c r="Z92" s="318"/>
      <c r="AA92" s="318"/>
      <c r="AB92" s="319"/>
      <c r="AC92" s="3"/>
      <c r="AD92" s="3"/>
    </row>
    <row r="93" spans="1:30" x14ac:dyDescent="0.25">
      <c r="A93" s="3"/>
      <c r="B93" s="320"/>
      <c r="C93" s="321"/>
      <c r="D93" s="320"/>
      <c r="E93" s="320"/>
      <c r="F93" s="322"/>
      <c r="G93" s="322"/>
      <c r="H93" s="322"/>
      <c r="I93" s="322"/>
      <c r="J93" s="322"/>
      <c r="K93" s="322"/>
      <c r="L93" s="322"/>
      <c r="M93" s="322"/>
      <c r="N93" s="322"/>
      <c r="O93" s="322"/>
      <c r="P93" s="322"/>
      <c r="Q93" s="322"/>
      <c r="R93" s="322"/>
      <c r="S93" s="322"/>
      <c r="T93" s="322"/>
      <c r="U93" s="322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3"/>
      <c r="B94" s="320"/>
      <c r="C94" s="321"/>
      <c r="D94" s="320"/>
      <c r="E94" s="320"/>
      <c r="F94" s="322"/>
      <c r="G94" s="322"/>
      <c r="H94" s="322"/>
      <c r="I94" s="322"/>
      <c r="J94" s="322"/>
      <c r="K94" s="322"/>
      <c r="L94" s="322"/>
      <c r="M94" s="322"/>
      <c r="N94" s="322"/>
      <c r="O94" s="322"/>
      <c r="P94" s="322"/>
      <c r="Q94" s="322"/>
      <c r="R94" s="322"/>
      <c r="S94" s="322"/>
      <c r="T94" s="322"/>
      <c r="U94" s="322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3"/>
      <c r="B95" s="323"/>
      <c r="C95" s="323"/>
      <c r="D95" s="323"/>
      <c r="E95" s="323"/>
      <c r="F95" s="323"/>
      <c r="G95" s="323"/>
      <c r="H95" s="323"/>
      <c r="I95" s="323"/>
      <c r="J95" s="323"/>
      <c r="K95" s="323"/>
      <c r="L95" s="323"/>
      <c r="M95" s="323"/>
      <c r="N95" s="323"/>
      <c r="O95" s="323"/>
      <c r="P95" s="323"/>
      <c r="Q95" s="323"/>
      <c r="R95" s="323"/>
      <c r="S95" s="323"/>
      <c r="T95" s="323"/>
      <c r="U95" s="323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3"/>
      <c r="B96" s="323" t="s">
        <v>104</v>
      </c>
      <c r="C96" s="324">
        <v>45918</v>
      </c>
      <c r="D96" s="323" t="s">
        <v>105</v>
      </c>
      <c r="E96" s="635" t="s">
        <v>287</v>
      </c>
      <c r="F96" s="635"/>
      <c r="G96" s="635"/>
      <c r="H96" s="323"/>
      <c r="I96" s="323" t="s">
        <v>107</v>
      </c>
      <c r="J96" s="636" t="s">
        <v>288</v>
      </c>
      <c r="K96" s="636"/>
      <c r="L96" s="636"/>
      <c r="M96" s="636"/>
      <c r="N96" s="323"/>
      <c r="O96" s="323"/>
      <c r="P96" s="323"/>
      <c r="Q96" s="323"/>
      <c r="R96" s="323"/>
      <c r="S96" s="323"/>
      <c r="T96" s="323"/>
      <c r="U96" s="323"/>
      <c r="V96" s="3"/>
      <c r="W96" s="3"/>
      <c r="X96" s="3"/>
      <c r="Y96" s="3"/>
      <c r="Z96" s="3"/>
      <c r="AA96" s="3"/>
      <c r="AB96" s="3"/>
      <c r="AC96" s="3"/>
      <c r="AD96" s="3"/>
    </row>
    <row r="97" spans="1:30" ht="7.5" customHeight="1" x14ac:dyDescent="0.25">
      <c r="A97" s="3"/>
      <c r="B97" s="323"/>
      <c r="C97" s="323"/>
      <c r="D97" s="323"/>
      <c r="E97" s="323"/>
      <c r="F97" s="323"/>
      <c r="G97" s="323"/>
      <c r="H97" s="323"/>
      <c r="I97" s="323"/>
      <c r="J97" s="323"/>
      <c r="K97" s="323"/>
      <c r="L97" s="323"/>
      <c r="M97" s="323"/>
      <c r="N97" s="323"/>
      <c r="O97" s="323"/>
      <c r="P97" s="323"/>
      <c r="Q97" s="323"/>
      <c r="R97" s="323"/>
      <c r="S97" s="323"/>
      <c r="T97" s="323"/>
      <c r="U97" s="323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3"/>
      <c r="B98" s="323"/>
      <c r="C98" s="323"/>
      <c r="D98" s="323" t="s">
        <v>109</v>
      </c>
      <c r="E98" s="325"/>
      <c r="F98" s="325"/>
      <c r="G98" s="325"/>
      <c r="H98" s="323"/>
      <c r="I98" s="323" t="s">
        <v>109</v>
      </c>
      <c r="J98" s="326"/>
      <c r="K98" s="326"/>
      <c r="L98" s="326"/>
      <c r="M98" s="326"/>
      <c r="N98" s="323"/>
      <c r="O98" s="323"/>
      <c r="P98" s="323"/>
      <c r="Q98" s="323"/>
      <c r="R98" s="323"/>
      <c r="S98" s="323"/>
      <c r="T98" s="323"/>
      <c r="U98" s="323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3"/>
      <c r="B99" s="323"/>
      <c r="C99" s="323"/>
      <c r="D99" s="323"/>
      <c r="E99" s="325"/>
      <c r="F99" s="325"/>
      <c r="G99" s="325"/>
      <c r="H99" s="323"/>
      <c r="I99" s="323"/>
      <c r="J99" s="326"/>
      <c r="K99" s="326"/>
      <c r="L99" s="326"/>
      <c r="M99" s="326"/>
      <c r="N99" s="323"/>
      <c r="O99" s="323"/>
      <c r="P99" s="323"/>
      <c r="Q99" s="323"/>
      <c r="R99" s="323"/>
      <c r="S99" s="323"/>
      <c r="T99" s="323"/>
      <c r="U99" s="323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3"/>
      <c r="B100" s="323"/>
      <c r="C100" s="323"/>
      <c r="D100" s="323"/>
      <c r="E100" s="323"/>
      <c r="F100" s="323"/>
      <c r="G100" s="323"/>
      <c r="H100" s="323"/>
      <c r="I100" s="323"/>
      <c r="J100" s="323"/>
      <c r="K100" s="323"/>
      <c r="L100" s="323"/>
      <c r="M100" s="323"/>
      <c r="N100" s="323"/>
      <c r="O100" s="323"/>
      <c r="P100" s="323"/>
      <c r="Q100" s="323"/>
      <c r="R100" s="323"/>
      <c r="S100" s="323"/>
      <c r="T100" s="323"/>
      <c r="U100" s="32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3"/>
      <c r="B101" s="323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"/>
      <c r="W101" s="3"/>
      <c r="X101" s="3"/>
      <c r="Y101" s="3"/>
      <c r="Z101" s="3"/>
      <c r="AA101" s="3"/>
      <c r="AB101" s="3"/>
      <c r="AC101" s="3"/>
      <c r="AD101" s="3"/>
    </row>
    <row r="118" ht="15" hidden="1" customHeight="1" x14ac:dyDescent="0.25"/>
    <row r="132" ht="15" hidden="1" customHeight="1" x14ac:dyDescent="0.25"/>
    <row r="133" ht="15" hidden="1" customHeight="1" x14ac:dyDescent="0.25"/>
  </sheetData>
  <mergeCells count="81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6:AB28"/>
    <mergeCell ref="J27:L27"/>
    <mergeCell ref="M27:M28"/>
    <mergeCell ref="N27:N28"/>
    <mergeCell ref="O27:O28"/>
    <mergeCell ref="AA13:AA14"/>
    <mergeCell ref="D26:I26"/>
    <mergeCell ref="J26:O26"/>
    <mergeCell ref="P26:U26"/>
    <mergeCell ref="V26:AA26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27:B28"/>
    <mergeCell ref="C27:C28"/>
    <mergeCell ref="D27:F27"/>
    <mergeCell ref="G27:G28"/>
    <mergeCell ref="H27:H28"/>
    <mergeCell ref="V58:X58"/>
    <mergeCell ref="P27:R27"/>
    <mergeCell ref="S27:S28"/>
    <mergeCell ref="T27:T28"/>
    <mergeCell ref="U27:U28"/>
    <mergeCell ref="V27:X27"/>
    <mergeCell ref="Z27:Z28"/>
    <mergeCell ref="AA27:AA28"/>
    <mergeCell ref="C44:C45"/>
    <mergeCell ref="C47:C48"/>
    <mergeCell ref="V57:X57"/>
    <mergeCell ref="Y27:Y28"/>
    <mergeCell ref="I27:I28"/>
    <mergeCell ref="U69:X69"/>
    <mergeCell ref="V59:X59"/>
    <mergeCell ref="D61:E61"/>
    <mergeCell ref="V61:X61"/>
    <mergeCell ref="U63:X63"/>
    <mergeCell ref="U64:X64"/>
    <mergeCell ref="AB64:AB66"/>
    <mergeCell ref="U65:X65"/>
    <mergeCell ref="U66:X66"/>
    <mergeCell ref="U67:X67"/>
    <mergeCell ref="U68:X68"/>
    <mergeCell ref="AA64:AA66"/>
    <mergeCell ref="B79:U79"/>
    <mergeCell ref="E96:G96"/>
    <mergeCell ref="J96:M96"/>
    <mergeCell ref="U70:X70"/>
    <mergeCell ref="U71:X71"/>
    <mergeCell ref="U72:X72"/>
    <mergeCell ref="D75:U75"/>
    <mergeCell ref="B77:U77"/>
    <mergeCell ref="B78:U78"/>
  </mergeCells>
  <conditionalFormatting sqref="AB15:AB26 AB29:AB42">
    <cfRule type="cellIs" dxfId="11" priority="1" operator="equal">
      <formula>0</formula>
    </cfRule>
    <cfRule type="containsErrors" dxfId="10" priority="2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tabColor rgb="FFFF0000"/>
    <pageSetUpPr fitToPage="1"/>
  </sheetPr>
  <dimension ref="A1:AD294"/>
  <sheetViews>
    <sheetView showGridLines="0" zoomScale="80" zoomScaleNormal="80" zoomScaleSheetLayoutView="80" workbookViewId="0">
      <selection activeCell="C96" sqref="C96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7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24" t="s">
        <v>289</v>
      </c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328">
        <v>46789707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7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5</v>
      </c>
      <c r="C8" s="1"/>
      <c r="D8" s="717" t="s">
        <v>290</v>
      </c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5"/>
      <c r="U8" s="625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626" t="s">
        <v>7</v>
      </c>
      <c r="C10" s="592" t="s">
        <v>8</v>
      </c>
      <c r="D10" s="631" t="s">
        <v>9</v>
      </c>
      <c r="E10" s="632"/>
      <c r="F10" s="632"/>
      <c r="G10" s="632"/>
      <c r="H10" s="632"/>
      <c r="I10" s="633"/>
      <c r="J10" s="631" t="s">
        <v>166</v>
      </c>
      <c r="K10" s="632"/>
      <c r="L10" s="632"/>
      <c r="M10" s="632"/>
      <c r="N10" s="632"/>
      <c r="O10" s="633"/>
      <c r="P10" s="631" t="s">
        <v>11</v>
      </c>
      <c r="Q10" s="632"/>
      <c r="R10" s="632"/>
      <c r="S10" s="632"/>
      <c r="T10" s="632"/>
      <c r="U10" s="633"/>
      <c r="V10" s="631" t="s">
        <v>12</v>
      </c>
      <c r="W10" s="632"/>
      <c r="X10" s="632"/>
      <c r="Y10" s="632"/>
      <c r="Z10" s="632"/>
      <c r="AA10" s="633"/>
      <c r="AB10" s="615" t="s">
        <v>13</v>
      </c>
      <c r="AC10" s="3"/>
      <c r="AD10" s="3"/>
    </row>
    <row r="11" spans="1:30" ht="30.75" customHeight="1" thickBot="1" x14ac:dyDescent="0.3">
      <c r="A11" s="1"/>
      <c r="B11" s="627"/>
      <c r="C11" s="593"/>
      <c r="D11" s="618" t="s">
        <v>14</v>
      </c>
      <c r="E11" s="619"/>
      <c r="F11" s="619"/>
      <c r="G11" s="620"/>
      <c r="H11" s="8" t="s">
        <v>15</v>
      </c>
      <c r="I11" s="8" t="s">
        <v>16</v>
      </c>
      <c r="J11" s="618" t="s">
        <v>14</v>
      </c>
      <c r="K11" s="619"/>
      <c r="L11" s="619"/>
      <c r="M11" s="620"/>
      <c r="N11" s="8" t="s">
        <v>15</v>
      </c>
      <c r="O11" s="8" t="s">
        <v>16</v>
      </c>
      <c r="P11" s="618" t="s">
        <v>14</v>
      </c>
      <c r="Q11" s="619"/>
      <c r="R11" s="619"/>
      <c r="S11" s="620"/>
      <c r="T11" s="8" t="s">
        <v>15</v>
      </c>
      <c r="U11" s="8" t="s">
        <v>16</v>
      </c>
      <c r="V11" s="618" t="s">
        <v>14</v>
      </c>
      <c r="W11" s="619"/>
      <c r="X11" s="619"/>
      <c r="Y11" s="620"/>
      <c r="Z11" s="8" t="s">
        <v>15</v>
      </c>
      <c r="AA11" s="8" t="s">
        <v>16</v>
      </c>
      <c r="AB11" s="616"/>
      <c r="AC11" s="3"/>
      <c r="AD11" s="3"/>
    </row>
    <row r="12" spans="1:30" ht="15.75" customHeight="1" thickBot="1" x14ac:dyDescent="0.3">
      <c r="A12" s="1"/>
      <c r="B12" s="627"/>
      <c r="C12" s="629"/>
      <c r="D12" s="621" t="s">
        <v>17</v>
      </c>
      <c r="E12" s="622"/>
      <c r="F12" s="622"/>
      <c r="G12" s="622"/>
      <c r="H12" s="622"/>
      <c r="I12" s="623"/>
      <c r="J12" s="621" t="s">
        <v>17</v>
      </c>
      <c r="K12" s="622"/>
      <c r="L12" s="622"/>
      <c r="M12" s="622"/>
      <c r="N12" s="622"/>
      <c r="O12" s="623"/>
      <c r="P12" s="621" t="s">
        <v>17</v>
      </c>
      <c r="Q12" s="622"/>
      <c r="R12" s="622"/>
      <c r="S12" s="622"/>
      <c r="T12" s="622"/>
      <c r="U12" s="623"/>
      <c r="V12" s="621" t="s">
        <v>17</v>
      </c>
      <c r="W12" s="622"/>
      <c r="X12" s="622"/>
      <c r="Y12" s="622"/>
      <c r="Z12" s="622"/>
      <c r="AA12" s="623"/>
      <c r="AB12" s="616"/>
      <c r="AC12" s="3"/>
      <c r="AD12" s="3"/>
    </row>
    <row r="13" spans="1:30" ht="15.75" customHeight="1" thickBot="1" x14ac:dyDescent="0.3">
      <c r="A13" s="1"/>
      <c r="B13" s="628"/>
      <c r="C13" s="630"/>
      <c r="D13" s="613" t="s">
        <v>18</v>
      </c>
      <c r="E13" s="614"/>
      <c r="F13" s="614"/>
      <c r="G13" s="609" t="s">
        <v>19</v>
      </c>
      <c r="H13" s="611" t="s">
        <v>20</v>
      </c>
      <c r="I13" s="594" t="s">
        <v>17</v>
      </c>
      <c r="J13" s="613" t="s">
        <v>18</v>
      </c>
      <c r="K13" s="614"/>
      <c r="L13" s="614"/>
      <c r="M13" s="609" t="s">
        <v>19</v>
      </c>
      <c r="N13" s="611" t="s">
        <v>20</v>
      </c>
      <c r="O13" s="594" t="s">
        <v>17</v>
      </c>
      <c r="P13" s="613" t="s">
        <v>18</v>
      </c>
      <c r="Q13" s="614"/>
      <c r="R13" s="614"/>
      <c r="S13" s="609" t="s">
        <v>19</v>
      </c>
      <c r="T13" s="611" t="s">
        <v>20</v>
      </c>
      <c r="U13" s="594" t="s">
        <v>17</v>
      </c>
      <c r="V13" s="613" t="s">
        <v>18</v>
      </c>
      <c r="W13" s="614"/>
      <c r="X13" s="614"/>
      <c r="Y13" s="609" t="s">
        <v>19</v>
      </c>
      <c r="Z13" s="611" t="s">
        <v>20</v>
      </c>
      <c r="AA13" s="594" t="s">
        <v>17</v>
      </c>
      <c r="AB13" s="616"/>
      <c r="AC13" s="3"/>
      <c r="AD13" s="3"/>
    </row>
    <row r="14" spans="1:30" ht="15.75" thickBot="1" x14ac:dyDescent="0.3">
      <c r="A14" s="1"/>
      <c r="B14" s="9"/>
      <c r="C14" s="10"/>
      <c r="D14" s="11" t="s">
        <v>21</v>
      </c>
      <c r="E14" s="12" t="s">
        <v>22</v>
      </c>
      <c r="F14" s="12" t="s">
        <v>23</v>
      </c>
      <c r="G14" s="610"/>
      <c r="H14" s="612"/>
      <c r="I14" s="595"/>
      <c r="J14" s="11" t="s">
        <v>21</v>
      </c>
      <c r="K14" s="12" t="s">
        <v>22</v>
      </c>
      <c r="L14" s="12" t="s">
        <v>23</v>
      </c>
      <c r="M14" s="610"/>
      <c r="N14" s="612"/>
      <c r="O14" s="595"/>
      <c r="P14" s="11" t="s">
        <v>21</v>
      </c>
      <c r="Q14" s="12" t="s">
        <v>22</v>
      </c>
      <c r="R14" s="12" t="s">
        <v>23</v>
      </c>
      <c r="S14" s="610"/>
      <c r="T14" s="612"/>
      <c r="U14" s="595"/>
      <c r="V14" s="11" t="s">
        <v>21</v>
      </c>
      <c r="W14" s="12" t="s">
        <v>22</v>
      </c>
      <c r="X14" s="12" t="s">
        <v>23</v>
      </c>
      <c r="Y14" s="610"/>
      <c r="Z14" s="612"/>
      <c r="AA14" s="595"/>
      <c r="AB14" s="617"/>
      <c r="AC14" s="3"/>
      <c r="AD14" s="3"/>
    </row>
    <row r="15" spans="1:30" x14ac:dyDescent="0.25">
      <c r="A15" s="1"/>
      <c r="B15" s="13" t="s">
        <v>24</v>
      </c>
      <c r="C15" s="14" t="s">
        <v>25</v>
      </c>
      <c r="D15" s="15"/>
      <c r="E15" s="16"/>
      <c r="F15" s="17">
        <v>2584</v>
      </c>
      <c r="G15" s="18">
        <f>SUM(D15:F15)</f>
        <v>2584</v>
      </c>
      <c r="H15" s="19">
        <v>178</v>
      </c>
      <c r="I15" s="20">
        <f>G15+H15</f>
        <v>2762</v>
      </c>
      <c r="J15" s="329"/>
      <c r="K15" s="330"/>
      <c r="L15" s="415">
        <v>2000</v>
      </c>
      <c r="M15" s="331">
        <f t="shared" ref="M15:M24" si="0">SUM(J15:L15)</f>
        <v>2000</v>
      </c>
      <c r="N15" s="332">
        <v>200</v>
      </c>
      <c r="O15" s="333">
        <f>M15+N15</f>
        <v>2200</v>
      </c>
      <c r="P15" s="15"/>
      <c r="Q15" s="16"/>
      <c r="R15" s="334">
        <v>1514.7</v>
      </c>
      <c r="S15" s="18">
        <f>SUM(P15:R15)</f>
        <v>1514.7</v>
      </c>
      <c r="T15" s="19">
        <v>98</v>
      </c>
      <c r="U15" s="20">
        <f>S15+T15</f>
        <v>1612.7</v>
      </c>
      <c r="V15" s="15"/>
      <c r="W15" s="16"/>
      <c r="X15" s="17">
        <v>2000</v>
      </c>
      <c r="Y15" s="18">
        <f>SUM(V15:X15)</f>
        <v>2000</v>
      </c>
      <c r="Z15" s="19">
        <v>200</v>
      </c>
      <c r="AA15" s="20">
        <f>Y15+Z15</f>
        <v>2200</v>
      </c>
      <c r="AB15" s="21">
        <f>(AA15/O15)</f>
        <v>1</v>
      </c>
      <c r="AC15" s="3"/>
      <c r="AD15" s="3"/>
    </row>
    <row r="16" spans="1:30" x14ac:dyDescent="0.25">
      <c r="A16" s="1"/>
      <c r="B16" s="22" t="s">
        <v>26</v>
      </c>
      <c r="C16" s="23" t="s">
        <v>123</v>
      </c>
      <c r="D16" s="24">
        <v>6432</v>
      </c>
      <c r="E16" s="25"/>
      <c r="F16" s="25"/>
      <c r="G16" s="26">
        <v>6432</v>
      </c>
      <c r="H16" s="27"/>
      <c r="I16" s="20">
        <f t="shared" ref="I16:I24" si="1">G16+H16</f>
        <v>6432</v>
      </c>
      <c r="J16" s="416">
        <v>6209</v>
      </c>
      <c r="K16" s="335"/>
      <c r="L16" s="335"/>
      <c r="M16" s="336">
        <f t="shared" si="0"/>
        <v>6209</v>
      </c>
      <c r="N16" s="337"/>
      <c r="O16" s="333">
        <f t="shared" ref="O16:O21" si="2">M16+N16</f>
        <v>6209</v>
      </c>
      <c r="P16" s="24">
        <v>3104.6</v>
      </c>
      <c r="Q16" s="338"/>
      <c r="R16" s="25"/>
      <c r="S16" s="26">
        <f t="shared" ref="S16:S24" si="3">SUM(P16:R16)</f>
        <v>3104.6</v>
      </c>
      <c r="T16" s="27"/>
      <c r="U16" s="20">
        <f t="shared" ref="U16:U21" si="4">S16+T16</f>
        <v>3104.6</v>
      </c>
      <c r="V16" s="24">
        <v>6519.9</v>
      </c>
      <c r="W16" s="25"/>
      <c r="X16" s="25"/>
      <c r="Y16" s="26">
        <f t="shared" ref="Y16:Y24" si="5">SUM(V16:X16)</f>
        <v>6519.9</v>
      </c>
      <c r="Z16" s="27"/>
      <c r="AA16" s="20">
        <f t="shared" ref="AA16:AA21" si="6">Y16+Z16</f>
        <v>6519.9</v>
      </c>
      <c r="AB16" s="21">
        <f t="shared" ref="AB16:AB25" si="7">(AA16/O16)</f>
        <v>1.050072475438879</v>
      </c>
      <c r="AC16" s="3"/>
      <c r="AD16" s="3"/>
    </row>
    <row r="17" spans="1:30" x14ac:dyDescent="0.25">
      <c r="A17" s="1"/>
      <c r="B17" s="22" t="s">
        <v>28</v>
      </c>
      <c r="C17" s="28" t="s">
        <v>124</v>
      </c>
      <c r="D17" s="29">
        <v>309</v>
      </c>
      <c r="E17" s="30"/>
      <c r="F17" s="30"/>
      <c r="G17" s="26">
        <v>309</v>
      </c>
      <c r="H17" s="31"/>
      <c r="I17" s="20">
        <f t="shared" si="1"/>
        <v>309</v>
      </c>
      <c r="J17" s="342">
        <v>509</v>
      </c>
      <c r="K17" s="339"/>
      <c r="L17" s="339"/>
      <c r="M17" s="336">
        <f t="shared" si="0"/>
        <v>509</v>
      </c>
      <c r="N17" s="340"/>
      <c r="O17" s="333">
        <f t="shared" si="2"/>
        <v>509</v>
      </c>
      <c r="P17" s="29">
        <v>3</v>
      </c>
      <c r="Q17" s="30"/>
      <c r="R17" s="30"/>
      <c r="S17" s="26">
        <f t="shared" si="3"/>
        <v>3</v>
      </c>
      <c r="T17" s="31"/>
      <c r="U17" s="20">
        <f t="shared" si="4"/>
        <v>3</v>
      </c>
      <c r="V17" s="29">
        <v>0</v>
      </c>
      <c r="W17" s="30"/>
      <c r="X17" s="30"/>
      <c r="Y17" s="26">
        <f t="shared" si="5"/>
        <v>0</v>
      </c>
      <c r="Z17" s="31"/>
      <c r="AA17" s="20">
        <f t="shared" si="6"/>
        <v>0</v>
      </c>
      <c r="AB17" s="21">
        <f t="shared" si="7"/>
        <v>0</v>
      </c>
      <c r="AC17" s="3"/>
      <c r="AD17" s="3"/>
    </row>
    <row r="18" spans="1:30" x14ac:dyDescent="0.25">
      <c r="A18" s="1"/>
      <c r="B18" s="22" t="s">
        <v>125</v>
      </c>
      <c r="C18" s="341" t="s">
        <v>126</v>
      </c>
      <c r="D18" s="29"/>
      <c r="E18" s="30"/>
      <c r="F18" s="30"/>
      <c r="G18" s="26">
        <f t="shared" ref="G18:G24" si="8">SUM(D18:F18)</f>
        <v>0</v>
      </c>
      <c r="H18" s="27"/>
      <c r="I18" s="20">
        <f t="shared" si="1"/>
        <v>0</v>
      </c>
      <c r="J18" s="342"/>
      <c r="K18" s="339"/>
      <c r="L18" s="339"/>
      <c r="M18" s="336">
        <f t="shared" si="0"/>
        <v>0</v>
      </c>
      <c r="N18" s="337"/>
      <c r="O18" s="333">
        <f t="shared" si="2"/>
        <v>0</v>
      </c>
      <c r="P18" s="29"/>
      <c r="Q18" s="30"/>
      <c r="R18" s="30"/>
      <c r="S18" s="26">
        <f t="shared" si="3"/>
        <v>0</v>
      </c>
      <c r="T18" s="27"/>
      <c r="U18" s="20">
        <f t="shared" si="4"/>
        <v>0</v>
      </c>
      <c r="V18" s="29">
        <v>7950.5</v>
      </c>
      <c r="W18" s="30"/>
      <c r="X18" s="30"/>
      <c r="Y18" s="26">
        <f t="shared" si="5"/>
        <v>7950.5</v>
      </c>
      <c r="Z18" s="27"/>
      <c r="AA18" s="20">
        <f t="shared" si="6"/>
        <v>7950.5</v>
      </c>
      <c r="AB18" s="21"/>
      <c r="AC18" s="3"/>
      <c r="AD18" s="3"/>
    </row>
    <row r="19" spans="1:30" x14ac:dyDescent="0.25">
      <c r="A19" s="1"/>
      <c r="B19" s="22" t="s">
        <v>30</v>
      </c>
      <c r="C19" s="32" t="s">
        <v>31</v>
      </c>
      <c r="D19" s="33"/>
      <c r="E19" s="34">
        <v>46194</v>
      </c>
      <c r="F19" s="30"/>
      <c r="G19" s="26">
        <f t="shared" si="8"/>
        <v>46194</v>
      </c>
      <c r="H19" s="19"/>
      <c r="I19" s="20">
        <f t="shared" si="1"/>
        <v>46194</v>
      </c>
      <c r="J19" s="343"/>
      <c r="K19" s="417">
        <v>44920</v>
      </c>
      <c r="L19" s="339"/>
      <c r="M19" s="336">
        <f t="shared" si="0"/>
        <v>44920</v>
      </c>
      <c r="N19" s="332"/>
      <c r="O19" s="333">
        <f t="shared" si="2"/>
        <v>44920</v>
      </c>
      <c r="P19" s="33"/>
      <c r="Q19" s="34">
        <v>22216.6</v>
      </c>
      <c r="R19" s="30"/>
      <c r="S19" s="26">
        <f t="shared" si="3"/>
        <v>22216.6</v>
      </c>
      <c r="T19" s="19"/>
      <c r="U19" s="20">
        <f t="shared" si="4"/>
        <v>22216.6</v>
      </c>
      <c r="V19" s="33"/>
      <c r="W19" s="34">
        <v>40315.5</v>
      </c>
      <c r="X19" s="30"/>
      <c r="Y19" s="26">
        <f t="shared" si="5"/>
        <v>40315.5</v>
      </c>
      <c r="Z19" s="19"/>
      <c r="AA19" s="20">
        <f t="shared" si="6"/>
        <v>40315.5</v>
      </c>
      <c r="AB19" s="21">
        <f t="shared" si="7"/>
        <v>0.8974955476402493</v>
      </c>
      <c r="AC19" s="3"/>
      <c r="AD19" s="3"/>
    </row>
    <row r="20" spans="1:30" x14ac:dyDescent="0.25">
      <c r="A20" s="1"/>
      <c r="B20" s="22" t="s">
        <v>32</v>
      </c>
      <c r="C20" s="35" t="s">
        <v>33</v>
      </c>
      <c r="D20" s="36"/>
      <c r="E20" s="30"/>
      <c r="F20" s="37">
        <v>1102</v>
      </c>
      <c r="G20" s="26">
        <v>1102</v>
      </c>
      <c r="H20" s="38"/>
      <c r="I20" s="20">
        <f t="shared" si="1"/>
        <v>1102</v>
      </c>
      <c r="J20" s="344"/>
      <c r="K20" s="339"/>
      <c r="L20" s="397">
        <v>500</v>
      </c>
      <c r="M20" s="336">
        <f t="shared" si="0"/>
        <v>500</v>
      </c>
      <c r="N20" s="345"/>
      <c r="O20" s="333">
        <f t="shared" si="2"/>
        <v>500</v>
      </c>
      <c r="P20" s="36"/>
      <c r="Q20" s="30"/>
      <c r="R20" s="37">
        <v>526.9</v>
      </c>
      <c r="S20" s="26">
        <f t="shared" si="3"/>
        <v>526.9</v>
      </c>
      <c r="T20" s="38"/>
      <c r="U20" s="20">
        <f t="shared" si="4"/>
        <v>526.9</v>
      </c>
      <c r="V20" s="36"/>
      <c r="W20" s="30"/>
      <c r="X20" s="37">
        <v>500</v>
      </c>
      <c r="Y20" s="26">
        <f t="shared" si="5"/>
        <v>500</v>
      </c>
      <c r="Z20" s="38"/>
      <c r="AA20" s="20">
        <f t="shared" si="6"/>
        <v>500</v>
      </c>
      <c r="AB20" s="21">
        <f t="shared" si="7"/>
        <v>1</v>
      </c>
      <c r="AC20" s="3"/>
      <c r="AD20" s="3"/>
    </row>
    <row r="21" spans="1:30" x14ac:dyDescent="0.25">
      <c r="A21" s="1"/>
      <c r="B21" s="22" t="s">
        <v>34</v>
      </c>
      <c r="C21" s="39" t="s">
        <v>35</v>
      </c>
      <c r="D21" s="33"/>
      <c r="E21" s="25"/>
      <c r="F21" s="40">
        <v>88</v>
      </c>
      <c r="G21" s="26">
        <v>88</v>
      </c>
      <c r="H21" s="38"/>
      <c r="I21" s="20">
        <f t="shared" si="1"/>
        <v>88</v>
      </c>
      <c r="J21" s="343"/>
      <c r="K21" s="335"/>
      <c r="L21" s="418">
        <v>50</v>
      </c>
      <c r="M21" s="336">
        <f t="shared" si="0"/>
        <v>50</v>
      </c>
      <c r="N21" s="345"/>
      <c r="O21" s="333">
        <f t="shared" si="2"/>
        <v>50</v>
      </c>
      <c r="P21" s="33">
        <v>62.6</v>
      </c>
      <c r="Q21" s="25">
        <v>43.7</v>
      </c>
      <c r="R21" s="40"/>
      <c r="S21" s="26">
        <f t="shared" si="3"/>
        <v>106.30000000000001</v>
      </c>
      <c r="T21" s="38"/>
      <c r="U21" s="20">
        <f t="shared" si="4"/>
        <v>106.30000000000001</v>
      </c>
      <c r="V21" s="33"/>
      <c r="W21" s="25"/>
      <c r="X21" s="40">
        <v>50</v>
      </c>
      <c r="Y21" s="26">
        <f t="shared" si="5"/>
        <v>50</v>
      </c>
      <c r="Z21" s="38"/>
      <c r="AA21" s="20">
        <f t="shared" si="6"/>
        <v>50</v>
      </c>
      <c r="AB21" s="21">
        <f t="shared" si="7"/>
        <v>1</v>
      </c>
      <c r="AC21" s="3"/>
      <c r="AD21" s="3"/>
    </row>
    <row r="22" spans="1:30" x14ac:dyDescent="0.25">
      <c r="A22" s="1"/>
      <c r="B22" s="22" t="s">
        <v>36</v>
      </c>
      <c r="C22" s="41" t="s">
        <v>37</v>
      </c>
      <c r="D22" s="33"/>
      <c r="E22" s="25"/>
      <c r="F22" s="40">
        <v>650</v>
      </c>
      <c r="G22" s="26">
        <v>650</v>
      </c>
      <c r="H22" s="42"/>
      <c r="I22" s="20">
        <f>G22+H22</f>
        <v>650</v>
      </c>
      <c r="J22" s="343"/>
      <c r="K22" s="335"/>
      <c r="L22" s="418"/>
      <c r="M22" s="336">
        <f t="shared" si="0"/>
        <v>0</v>
      </c>
      <c r="N22" s="346"/>
      <c r="O22" s="333">
        <f>M22+N22</f>
        <v>0</v>
      </c>
      <c r="P22" s="33">
        <v>219.2</v>
      </c>
      <c r="Q22" s="25"/>
      <c r="R22" s="40"/>
      <c r="S22" s="26">
        <f t="shared" si="3"/>
        <v>219.2</v>
      </c>
      <c r="T22" s="42"/>
      <c r="U22" s="20">
        <f>S22+T22</f>
        <v>219.2</v>
      </c>
      <c r="V22" s="33"/>
      <c r="W22" s="25"/>
      <c r="X22" s="40"/>
      <c r="Y22" s="26">
        <f t="shared" si="5"/>
        <v>0</v>
      </c>
      <c r="Z22" s="42"/>
      <c r="AA22" s="20">
        <f>Y22+Z22</f>
        <v>0</v>
      </c>
      <c r="AB22" s="21" t="e">
        <f t="shared" si="7"/>
        <v>#DIV/0!</v>
      </c>
      <c r="AC22" s="3"/>
      <c r="AD22" s="3"/>
    </row>
    <row r="23" spans="1:30" x14ac:dyDescent="0.25">
      <c r="A23" s="1"/>
      <c r="B23" s="22" t="s">
        <v>38</v>
      </c>
      <c r="C23" s="41" t="s">
        <v>39</v>
      </c>
      <c r="D23" s="33"/>
      <c r="E23" s="25"/>
      <c r="F23" s="40"/>
      <c r="G23" s="26">
        <f t="shared" si="8"/>
        <v>0</v>
      </c>
      <c r="H23" s="42"/>
      <c r="I23" s="20">
        <f t="shared" si="1"/>
        <v>0</v>
      </c>
      <c r="J23" s="343"/>
      <c r="K23" s="335"/>
      <c r="L23" s="418"/>
      <c r="M23" s="336">
        <f t="shared" si="0"/>
        <v>0</v>
      </c>
      <c r="N23" s="346"/>
      <c r="O23" s="333">
        <f t="shared" ref="O23:O24" si="9">M23+N23</f>
        <v>0</v>
      </c>
      <c r="P23" s="33">
        <v>0</v>
      </c>
      <c r="Q23" s="25"/>
      <c r="R23" s="40"/>
      <c r="S23" s="26">
        <f t="shared" si="3"/>
        <v>0</v>
      </c>
      <c r="T23" s="42"/>
      <c r="U23" s="20">
        <f t="shared" ref="U23:U24" si="10">S23+T23</f>
        <v>0</v>
      </c>
      <c r="V23" s="33"/>
      <c r="W23" s="25"/>
      <c r="X23" s="40"/>
      <c r="Y23" s="26">
        <f t="shared" si="5"/>
        <v>0</v>
      </c>
      <c r="Z23" s="42"/>
      <c r="AA23" s="20">
        <f t="shared" ref="AA23:AA24" si="11">Y23+Z23</f>
        <v>0</v>
      </c>
      <c r="AB23" s="21" t="e">
        <f t="shared" si="7"/>
        <v>#DIV/0!</v>
      </c>
      <c r="AC23" s="3"/>
      <c r="AD23" s="3"/>
    </row>
    <row r="24" spans="1:30" ht="15.75" thickBot="1" x14ac:dyDescent="0.3">
      <c r="A24" s="1"/>
      <c r="B24" s="43" t="s">
        <v>40</v>
      </c>
      <c r="C24" s="44" t="s">
        <v>41</v>
      </c>
      <c r="D24" s="45"/>
      <c r="E24" s="46"/>
      <c r="F24" s="47"/>
      <c r="G24" s="48">
        <f t="shared" si="8"/>
        <v>0</v>
      </c>
      <c r="H24" s="49"/>
      <c r="I24" s="50">
        <f t="shared" si="1"/>
        <v>0</v>
      </c>
      <c r="J24" s="347"/>
      <c r="K24" s="348"/>
      <c r="L24" s="419"/>
      <c r="M24" s="349">
        <f t="shared" si="0"/>
        <v>0</v>
      </c>
      <c r="N24" s="350"/>
      <c r="O24" s="351">
        <f t="shared" si="9"/>
        <v>0</v>
      </c>
      <c r="P24" s="45"/>
      <c r="Q24" s="46"/>
      <c r="R24" s="47"/>
      <c r="S24" s="48">
        <f t="shared" si="3"/>
        <v>0</v>
      </c>
      <c r="T24" s="49"/>
      <c r="U24" s="50">
        <f t="shared" si="10"/>
        <v>0</v>
      </c>
      <c r="V24" s="45"/>
      <c r="W24" s="46"/>
      <c r="X24" s="47"/>
      <c r="Y24" s="48">
        <f t="shared" si="5"/>
        <v>0</v>
      </c>
      <c r="Z24" s="49"/>
      <c r="AA24" s="50">
        <f t="shared" si="11"/>
        <v>0</v>
      </c>
      <c r="AB24" s="51" t="e">
        <f t="shared" si="7"/>
        <v>#DIV/0!</v>
      </c>
      <c r="AC24" s="3"/>
      <c r="AD24" s="3"/>
    </row>
    <row r="25" spans="1:30" ht="15.75" thickBot="1" x14ac:dyDescent="0.3">
      <c r="A25" s="1"/>
      <c r="B25" s="52" t="s">
        <v>42</v>
      </c>
      <c r="C25" s="53" t="s">
        <v>43</v>
      </c>
      <c r="D25" s="54">
        <f>SUM(D15:D22)</f>
        <v>6741</v>
      </c>
      <c r="E25" s="55">
        <f>SUM(E15:E22)</f>
        <v>46194</v>
      </c>
      <c r="F25" s="55">
        <f>SUM(F15:F22)</f>
        <v>4424</v>
      </c>
      <c r="G25" s="56">
        <f>SUM(D25:F25)</f>
        <v>57359</v>
      </c>
      <c r="H25" s="57">
        <f>SUM(H15:H22)</f>
        <v>178</v>
      </c>
      <c r="I25" s="57">
        <f>SUM(I15:I22)</f>
        <v>57537</v>
      </c>
      <c r="J25" s="352">
        <f>SUM(J15:J22)</f>
        <v>6718</v>
      </c>
      <c r="K25" s="353">
        <f>SUM(K15:K22)</f>
        <v>44920</v>
      </c>
      <c r="L25" s="353">
        <f>SUM(L15:L22)</f>
        <v>2550</v>
      </c>
      <c r="M25" s="354">
        <f>SUM(J25:L25)</f>
        <v>54188</v>
      </c>
      <c r="N25" s="355">
        <f>SUM(N15:N22)</f>
        <v>200</v>
      </c>
      <c r="O25" s="355">
        <f>SUM(O15:O22)</f>
        <v>54388</v>
      </c>
      <c r="P25" s="54">
        <f>SUM(P15:P23)</f>
        <v>3389.3999999999996</v>
      </c>
      <c r="Q25" s="55">
        <f>SUM(Q15:Q22)</f>
        <v>22260.3</v>
      </c>
      <c r="R25" s="55">
        <f>SUM(R15:R22)</f>
        <v>2041.6</v>
      </c>
      <c r="S25" s="56">
        <f>SUM(P25:R25)</f>
        <v>27691.299999999996</v>
      </c>
      <c r="T25" s="57">
        <f>SUM(T15:T22)</f>
        <v>98</v>
      </c>
      <c r="U25" s="57">
        <f>SUM(U15:U22)</f>
        <v>27789.3</v>
      </c>
      <c r="V25" s="54">
        <f>SUM(V15:V22)</f>
        <v>14470.4</v>
      </c>
      <c r="W25" s="55">
        <f>SUM(W15:W22)</f>
        <v>40315.5</v>
      </c>
      <c r="X25" s="55">
        <f>SUM(X15:X22)</f>
        <v>2550</v>
      </c>
      <c r="Y25" s="56">
        <f>SUM(V25:X25)</f>
        <v>57335.9</v>
      </c>
      <c r="Z25" s="57">
        <f>SUM(Z15:Z22)</f>
        <v>200</v>
      </c>
      <c r="AA25" s="57">
        <f>SUM(AA15:AA22)</f>
        <v>57535.9</v>
      </c>
      <c r="AB25" s="58">
        <f t="shared" si="7"/>
        <v>1.057878576156505</v>
      </c>
      <c r="AC25" s="3"/>
      <c r="AD25" s="3"/>
    </row>
    <row r="26" spans="1:30" ht="15.75" customHeight="1" thickBot="1" x14ac:dyDescent="0.3">
      <c r="A26" s="1"/>
      <c r="B26" s="59"/>
      <c r="C26" s="60"/>
      <c r="D26" s="596" t="s">
        <v>44</v>
      </c>
      <c r="E26" s="597"/>
      <c r="F26" s="597"/>
      <c r="G26" s="598"/>
      <c r="H26" s="598"/>
      <c r="I26" s="599"/>
      <c r="J26" s="705" t="s">
        <v>44</v>
      </c>
      <c r="K26" s="706"/>
      <c r="L26" s="706"/>
      <c r="M26" s="707"/>
      <c r="N26" s="707"/>
      <c r="O26" s="708"/>
      <c r="P26" s="596" t="s">
        <v>44</v>
      </c>
      <c r="Q26" s="597"/>
      <c r="R26" s="597"/>
      <c r="S26" s="598"/>
      <c r="T26" s="598"/>
      <c r="U26" s="599"/>
      <c r="V26" s="596" t="s">
        <v>44</v>
      </c>
      <c r="W26" s="597"/>
      <c r="X26" s="597"/>
      <c r="Y26" s="598"/>
      <c r="Z26" s="598"/>
      <c r="AA26" s="599"/>
      <c r="AB26" s="600" t="s">
        <v>13</v>
      </c>
      <c r="AC26" s="3"/>
      <c r="AD26" s="3"/>
    </row>
    <row r="27" spans="1:30" ht="15.75" thickBot="1" x14ac:dyDescent="0.3">
      <c r="A27" s="1"/>
      <c r="B27" s="590" t="s">
        <v>7</v>
      </c>
      <c r="C27" s="592" t="s">
        <v>8</v>
      </c>
      <c r="D27" s="586" t="s">
        <v>45</v>
      </c>
      <c r="E27" s="587"/>
      <c r="F27" s="587"/>
      <c r="G27" s="588" t="s">
        <v>46</v>
      </c>
      <c r="H27" s="578" t="s">
        <v>47</v>
      </c>
      <c r="I27" s="580" t="s">
        <v>44</v>
      </c>
      <c r="J27" s="709" t="s">
        <v>45</v>
      </c>
      <c r="K27" s="710"/>
      <c r="L27" s="710"/>
      <c r="M27" s="711" t="s">
        <v>46</v>
      </c>
      <c r="N27" s="713" t="s">
        <v>47</v>
      </c>
      <c r="O27" s="715" t="s">
        <v>44</v>
      </c>
      <c r="P27" s="586" t="s">
        <v>45</v>
      </c>
      <c r="Q27" s="587"/>
      <c r="R27" s="587"/>
      <c r="S27" s="588" t="s">
        <v>46</v>
      </c>
      <c r="T27" s="578" t="s">
        <v>47</v>
      </c>
      <c r="U27" s="580" t="s">
        <v>44</v>
      </c>
      <c r="V27" s="586" t="s">
        <v>45</v>
      </c>
      <c r="W27" s="587"/>
      <c r="X27" s="587"/>
      <c r="Y27" s="588" t="s">
        <v>46</v>
      </c>
      <c r="Z27" s="578" t="s">
        <v>47</v>
      </c>
      <c r="AA27" s="580" t="s">
        <v>44</v>
      </c>
      <c r="AB27" s="601"/>
      <c r="AC27" s="3"/>
      <c r="AD27" s="3"/>
    </row>
    <row r="28" spans="1:30" ht="15.75" thickBot="1" x14ac:dyDescent="0.3">
      <c r="A28" s="1"/>
      <c r="B28" s="591"/>
      <c r="C28" s="593"/>
      <c r="D28" s="61" t="s">
        <v>48</v>
      </c>
      <c r="E28" s="62" t="s">
        <v>49</v>
      </c>
      <c r="F28" s="63" t="s">
        <v>50</v>
      </c>
      <c r="G28" s="589"/>
      <c r="H28" s="579"/>
      <c r="I28" s="581"/>
      <c r="J28" s="356" t="s">
        <v>48</v>
      </c>
      <c r="K28" s="357" t="s">
        <v>49</v>
      </c>
      <c r="L28" s="358" t="s">
        <v>50</v>
      </c>
      <c r="M28" s="712"/>
      <c r="N28" s="714"/>
      <c r="O28" s="716"/>
      <c r="P28" s="61" t="s">
        <v>48</v>
      </c>
      <c r="Q28" s="62" t="s">
        <v>49</v>
      </c>
      <c r="R28" s="63" t="s">
        <v>50</v>
      </c>
      <c r="S28" s="589"/>
      <c r="T28" s="579"/>
      <c r="U28" s="581"/>
      <c r="V28" s="61" t="s">
        <v>48</v>
      </c>
      <c r="W28" s="62" t="s">
        <v>49</v>
      </c>
      <c r="X28" s="63" t="s">
        <v>50</v>
      </c>
      <c r="Y28" s="589"/>
      <c r="Z28" s="579"/>
      <c r="AA28" s="581"/>
      <c r="AB28" s="602"/>
      <c r="AC28" s="3"/>
      <c r="AD28" s="3"/>
    </row>
    <row r="29" spans="1:30" x14ac:dyDescent="0.25">
      <c r="A29" s="1"/>
      <c r="B29" s="13" t="s">
        <v>51</v>
      </c>
      <c r="C29" s="67" t="s">
        <v>52</v>
      </c>
      <c r="D29" s="68">
        <v>1217.3</v>
      </c>
      <c r="E29" s="68"/>
      <c r="F29" s="68"/>
      <c r="G29" s="70">
        <f>SUM(D29:F29)</f>
        <v>1217.3</v>
      </c>
      <c r="H29" s="70"/>
      <c r="I29" s="71">
        <f>G29+H29</f>
        <v>1217.3</v>
      </c>
      <c r="J29" s="421">
        <v>240</v>
      </c>
      <c r="K29" s="422"/>
      <c r="L29" s="422"/>
      <c r="M29" s="359">
        <f>SUM(J29:L29)</f>
        <v>240</v>
      </c>
      <c r="N29" s="359"/>
      <c r="O29" s="360">
        <f>M29+N29</f>
        <v>240</v>
      </c>
      <c r="P29" s="72">
        <v>138.4</v>
      </c>
      <c r="Q29" s="68">
        <v>0</v>
      </c>
      <c r="R29" s="68">
        <v>0</v>
      </c>
      <c r="S29" s="70">
        <f>SUM(P29:R29)</f>
        <v>138.4</v>
      </c>
      <c r="T29" s="70"/>
      <c r="U29" s="71">
        <f>S29+T29</f>
        <v>138.4</v>
      </c>
      <c r="V29" s="72">
        <v>240</v>
      </c>
      <c r="W29" s="68"/>
      <c r="X29" s="68"/>
      <c r="Y29" s="70">
        <f>SUM(V29:X29)</f>
        <v>240</v>
      </c>
      <c r="Z29" s="70"/>
      <c r="AA29" s="71">
        <f>Y29+Z29</f>
        <v>240</v>
      </c>
      <c r="AB29" s="21">
        <f t="shared" ref="AB29:AB42" si="12">(AA29/O29)</f>
        <v>1</v>
      </c>
      <c r="AC29" s="3"/>
      <c r="AD29" s="3"/>
    </row>
    <row r="30" spans="1:30" x14ac:dyDescent="0.25">
      <c r="A30" s="1"/>
      <c r="B30" s="22" t="s">
        <v>53</v>
      </c>
      <c r="C30" s="73" t="s">
        <v>54</v>
      </c>
      <c r="D30" s="74">
        <v>880.2</v>
      </c>
      <c r="E30" s="75">
        <v>455</v>
      </c>
      <c r="F30" s="75">
        <v>2669.8</v>
      </c>
      <c r="G30" s="76">
        <f t="shared" ref="G30:G39" si="13">SUM(D30:F30)</f>
        <v>4005</v>
      </c>
      <c r="H30" s="77"/>
      <c r="I30" s="20">
        <f t="shared" ref="I30:I39" si="14">G30+H30</f>
        <v>4005</v>
      </c>
      <c r="J30" s="424">
        <v>1088</v>
      </c>
      <c r="K30" s="425">
        <v>200</v>
      </c>
      <c r="L30" s="425">
        <v>1830</v>
      </c>
      <c r="M30" s="361">
        <f t="shared" ref="M30:M39" si="15">SUM(J30:L30)</f>
        <v>3118</v>
      </c>
      <c r="N30" s="362">
        <v>2</v>
      </c>
      <c r="O30" s="333">
        <f t="shared" ref="O30:O39" si="16">M30+N30</f>
        <v>3120</v>
      </c>
      <c r="P30" s="78">
        <v>545</v>
      </c>
      <c r="Q30" s="75">
        <v>242</v>
      </c>
      <c r="R30" s="75">
        <v>1402.3</v>
      </c>
      <c r="S30" s="76">
        <f t="shared" ref="S30:S39" si="17">SUM(P30:R30)</f>
        <v>2189.3000000000002</v>
      </c>
      <c r="T30" s="77"/>
      <c r="U30" s="20">
        <f t="shared" ref="U30:U39" si="18">S30+T30</f>
        <v>2189.3000000000002</v>
      </c>
      <c r="V30" s="78">
        <v>1200.2</v>
      </c>
      <c r="W30" s="75">
        <v>200</v>
      </c>
      <c r="X30" s="75">
        <v>1800</v>
      </c>
      <c r="Y30" s="76">
        <f t="shared" ref="Y30:Y39" si="19">SUM(V30:X30)</f>
        <v>3200.2</v>
      </c>
      <c r="Z30" s="77">
        <v>2</v>
      </c>
      <c r="AA30" s="20">
        <f t="shared" ref="AA30:AA39" si="20">Y30+Z30</f>
        <v>3202.2</v>
      </c>
      <c r="AB30" s="21">
        <f t="shared" si="12"/>
        <v>1.0263461538461538</v>
      </c>
      <c r="AC30" s="3"/>
      <c r="AD30" s="3"/>
    </row>
    <row r="31" spans="1:30" x14ac:dyDescent="0.25">
      <c r="A31" s="1"/>
      <c r="B31" s="22" t="s">
        <v>55</v>
      </c>
      <c r="C31" s="41" t="s">
        <v>56</v>
      </c>
      <c r="D31" s="79">
        <v>2668</v>
      </c>
      <c r="E31" s="79"/>
      <c r="F31" s="79"/>
      <c r="G31" s="76">
        <v>2667.8</v>
      </c>
      <c r="H31" s="76">
        <v>37.9</v>
      </c>
      <c r="I31" s="20">
        <f t="shared" si="14"/>
        <v>2705.7000000000003</v>
      </c>
      <c r="J31" s="426">
        <v>2416</v>
      </c>
      <c r="K31" s="246"/>
      <c r="L31" s="427"/>
      <c r="M31" s="361">
        <f t="shared" si="15"/>
        <v>2416</v>
      </c>
      <c r="N31" s="361">
        <v>198</v>
      </c>
      <c r="O31" s="333">
        <f t="shared" si="16"/>
        <v>2614</v>
      </c>
      <c r="P31" s="80">
        <v>1457</v>
      </c>
      <c r="Q31" s="79"/>
      <c r="R31" s="79"/>
      <c r="S31" s="76">
        <f t="shared" si="17"/>
        <v>1457</v>
      </c>
      <c r="T31" s="76">
        <v>27.6</v>
      </c>
      <c r="U31" s="20">
        <f t="shared" si="18"/>
        <v>1484.6</v>
      </c>
      <c r="V31" s="80">
        <v>2416</v>
      </c>
      <c r="W31" s="79"/>
      <c r="X31" s="79">
        <v>0</v>
      </c>
      <c r="Y31" s="76">
        <v>2416</v>
      </c>
      <c r="Z31" s="76">
        <v>198</v>
      </c>
      <c r="AA31" s="20">
        <f t="shared" si="20"/>
        <v>2614</v>
      </c>
      <c r="AB31" s="21">
        <f t="shared" si="12"/>
        <v>1</v>
      </c>
      <c r="AC31" s="3"/>
      <c r="AD31" s="3"/>
    </row>
    <row r="32" spans="1:30" x14ac:dyDescent="0.25">
      <c r="A32" s="1"/>
      <c r="B32" s="22" t="s">
        <v>57</v>
      </c>
      <c r="C32" s="41" t="s">
        <v>58</v>
      </c>
      <c r="D32" s="79">
        <v>810.9</v>
      </c>
      <c r="E32" s="79">
        <v>848.7</v>
      </c>
      <c r="F32" s="79">
        <v>41.1</v>
      </c>
      <c r="G32" s="76">
        <f t="shared" si="13"/>
        <v>1700.6999999999998</v>
      </c>
      <c r="H32" s="76"/>
      <c r="I32" s="20">
        <f t="shared" si="14"/>
        <v>1700.6999999999998</v>
      </c>
      <c r="J32" s="426">
        <v>650</v>
      </c>
      <c r="K32" s="427">
        <v>750</v>
      </c>
      <c r="L32" s="427">
        <v>120</v>
      </c>
      <c r="M32" s="361">
        <f t="shared" si="15"/>
        <v>1520</v>
      </c>
      <c r="N32" s="361"/>
      <c r="O32" s="333">
        <f t="shared" si="16"/>
        <v>1520</v>
      </c>
      <c r="P32" s="80">
        <v>371.7</v>
      </c>
      <c r="Q32" s="79">
        <v>688.8</v>
      </c>
      <c r="R32" s="79"/>
      <c r="S32" s="76">
        <f t="shared" si="17"/>
        <v>1060.5</v>
      </c>
      <c r="T32" s="76"/>
      <c r="U32" s="20">
        <f t="shared" si="18"/>
        <v>1060.5</v>
      </c>
      <c r="V32" s="80">
        <v>869</v>
      </c>
      <c r="W32" s="79">
        <v>500</v>
      </c>
      <c r="X32" s="79">
        <v>200</v>
      </c>
      <c r="Y32" s="76">
        <f t="shared" si="19"/>
        <v>1569</v>
      </c>
      <c r="Z32" s="76"/>
      <c r="AA32" s="20">
        <f t="shared" si="20"/>
        <v>1569</v>
      </c>
      <c r="AB32" s="21">
        <f t="shared" si="12"/>
        <v>1.0322368421052632</v>
      </c>
      <c r="AC32" s="3"/>
      <c r="AD32" s="3"/>
    </row>
    <row r="33" spans="1:30" x14ac:dyDescent="0.25">
      <c r="A33" s="1"/>
      <c r="B33" s="22" t="s">
        <v>59</v>
      </c>
      <c r="C33" s="41" t="s">
        <v>60</v>
      </c>
      <c r="D33" s="363">
        <v>136.30000000000001</v>
      </c>
      <c r="E33" s="79">
        <v>33027.699999999997</v>
      </c>
      <c r="F33" s="79"/>
      <c r="G33" s="76">
        <f t="shared" si="13"/>
        <v>33164</v>
      </c>
      <c r="H33" s="76"/>
      <c r="I33" s="20">
        <f t="shared" si="14"/>
        <v>33164</v>
      </c>
      <c r="J33" s="426"/>
      <c r="K33" s="427">
        <v>32420</v>
      </c>
      <c r="L33" s="427"/>
      <c r="M33" s="361">
        <f t="shared" si="15"/>
        <v>32420</v>
      </c>
      <c r="N33" s="361"/>
      <c r="O33" s="333">
        <f t="shared" si="16"/>
        <v>32420</v>
      </c>
      <c r="P33" s="82"/>
      <c r="Q33" s="79">
        <v>15657.6</v>
      </c>
      <c r="R33" s="79"/>
      <c r="S33" s="76">
        <f t="shared" si="17"/>
        <v>15657.6</v>
      </c>
      <c r="T33" s="76"/>
      <c r="U33" s="20">
        <f t="shared" si="18"/>
        <v>15657.6</v>
      </c>
      <c r="V33" s="82">
        <v>5449.3</v>
      </c>
      <c r="W33" s="79">
        <v>29122.2</v>
      </c>
      <c r="X33" s="79"/>
      <c r="Y33" s="76">
        <f t="shared" si="19"/>
        <v>34571.5</v>
      </c>
      <c r="Z33" s="76"/>
      <c r="AA33" s="20">
        <f t="shared" si="20"/>
        <v>34571.5</v>
      </c>
      <c r="AB33" s="21">
        <f t="shared" si="12"/>
        <v>1.0663633559531154</v>
      </c>
      <c r="AC33" s="3"/>
      <c r="AD33" s="3"/>
    </row>
    <row r="34" spans="1:30" x14ac:dyDescent="0.25">
      <c r="A34" s="1"/>
      <c r="B34" s="22" t="s">
        <v>61</v>
      </c>
      <c r="C34" s="35" t="s">
        <v>127</v>
      </c>
      <c r="D34" s="363"/>
      <c r="E34" s="79">
        <v>32864</v>
      </c>
      <c r="F34" s="79"/>
      <c r="G34" s="76">
        <f t="shared" si="13"/>
        <v>32864</v>
      </c>
      <c r="H34" s="76"/>
      <c r="I34" s="20">
        <f t="shared" si="14"/>
        <v>32864</v>
      </c>
      <c r="J34" s="426"/>
      <c r="K34" s="427">
        <v>32240</v>
      </c>
      <c r="L34" s="427"/>
      <c r="M34" s="361">
        <f t="shared" si="15"/>
        <v>32240</v>
      </c>
      <c r="N34" s="361"/>
      <c r="O34" s="333">
        <f t="shared" si="16"/>
        <v>32240</v>
      </c>
      <c r="P34" s="82"/>
      <c r="Q34" s="79">
        <v>15569</v>
      </c>
      <c r="R34" s="79"/>
      <c r="S34" s="76">
        <f t="shared" si="17"/>
        <v>15569</v>
      </c>
      <c r="T34" s="76"/>
      <c r="U34" s="20">
        <f t="shared" si="18"/>
        <v>15569</v>
      </c>
      <c r="V34" s="82">
        <v>5449.3</v>
      </c>
      <c r="W34" s="79">
        <v>29062.2</v>
      </c>
      <c r="X34" s="79"/>
      <c r="Y34" s="76">
        <f t="shared" si="19"/>
        <v>34511.5</v>
      </c>
      <c r="Z34" s="76"/>
      <c r="AA34" s="20">
        <f t="shared" si="20"/>
        <v>34511.5</v>
      </c>
      <c r="AB34" s="21">
        <f t="shared" si="12"/>
        <v>1.0704559553349875</v>
      </c>
      <c r="AC34" s="3"/>
      <c r="AD34" s="3"/>
    </row>
    <row r="35" spans="1:30" x14ac:dyDescent="0.25">
      <c r="A35" s="1"/>
      <c r="B35" s="22" t="s">
        <v>63</v>
      </c>
      <c r="C35" s="81" t="s">
        <v>64</v>
      </c>
      <c r="D35" s="363"/>
      <c r="E35" s="79">
        <v>163.69999999999999</v>
      </c>
      <c r="F35" s="79"/>
      <c r="G35" s="76">
        <f t="shared" si="13"/>
        <v>163.69999999999999</v>
      </c>
      <c r="H35" s="76"/>
      <c r="I35" s="20">
        <f t="shared" si="14"/>
        <v>163.69999999999999</v>
      </c>
      <c r="J35" s="426"/>
      <c r="K35" s="427">
        <v>180</v>
      </c>
      <c r="L35" s="427"/>
      <c r="M35" s="361">
        <f>SUM(J35:L35)</f>
        <v>180</v>
      </c>
      <c r="N35" s="361"/>
      <c r="O35" s="333">
        <f t="shared" si="16"/>
        <v>180</v>
      </c>
      <c r="P35" s="82"/>
      <c r="Q35" s="79">
        <v>88.6</v>
      </c>
      <c r="R35" s="79"/>
      <c r="S35" s="76">
        <f t="shared" si="17"/>
        <v>88.6</v>
      </c>
      <c r="T35" s="76"/>
      <c r="U35" s="20">
        <f t="shared" si="18"/>
        <v>88.6</v>
      </c>
      <c r="V35" s="82">
        <v>0</v>
      </c>
      <c r="W35" s="79">
        <v>60</v>
      </c>
      <c r="X35" s="79"/>
      <c r="Y35" s="76">
        <f t="shared" si="19"/>
        <v>60</v>
      </c>
      <c r="Z35" s="76"/>
      <c r="AA35" s="20">
        <f t="shared" si="20"/>
        <v>60</v>
      </c>
      <c r="AB35" s="21">
        <f t="shared" si="12"/>
        <v>0.33333333333333331</v>
      </c>
      <c r="AC35" s="3"/>
      <c r="AD35" s="3"/>
    </row>
    <row r="36" spans="1:30" x14ac:dyDescent="0.25">
      <c r="A36" s="1"/>
      <c r="B36" s="22" t="s">
        <v>65</v>
      </c>
      <c r="C36" s="41" t="s">
        <v>66</v>
      </c>
      <c r="D36" s="363">
        <v>46</v>
      </c>
      <c r="E36" s="79">
        <v>11020</v>
      </c>
      <c r="F36" s="79"/>
      <c r="G36" s="76">
        <f t="shared" si="13"/>
        <v>11066</v>
      </c>
      <c r="H36" s="76"/>
      <c r="I36" s="20">
        <f t="shared" si="14"/>
        <v>11066</v>
      </c>
      <c r="J36" s="426"/>
      <c r="K36" s="427">
        <v>10900</v>
      </c>
      <c r="L36" s="427"/>
      <c r="M36" s="361">
        <f t="shared" ref="M36" si="21">SUM(J36:L36)</f>
        <v>10900</v>
      </c>
      <c r="N36" s="361"/>
      <c r="O36" s="333">
        <f t="shared" si="16"/>
        <v>10900</v>
      </c>
      <c r="P36" s="82"/>
      <c r="Q36" s="79">
        <v>5215.8999999999996</v>
      </c>
      <c r="R36" s="79"/>
      <c r="S36" s="76">
        <f t="shared" si="17"/>
        <v>5215.8999999999996</v>
      </c>
      <c r="T36" s="76"/>
      <c r="U36" s="20">
        <f t="shared" si="18"/>
        <v>5215.8999999999996</v>
      </c>
      <c r="V36" s="82">
        <v>1841.9</v>
      </c>
      <c r="W36" s="79">
        <v>9843.2999999999993</v>
      </c>
      <c r="X36" s="79"/>
      <c r="Y36" s="76">
        <f t="shared" si="19"/>
        <v>11685.199999999999</v>
      </c>
      <c r="Z36" s="76"/>
      <c r="AA36" s="20">
        <f t="shared" si="20"/>
        <v>11685.199999999999</v>
      </c>
      <c r="AB36" s="21">
        <f t="shared" si="12"/>
        <v>1.0720366972477062</v>
      </c>
      <c r="AC36" s="3"/>
      <c r="AD36" s="3"/>
    </row>
    <row r="37" spans="1:30" x14ac:dyDescent="0.25">
      <c r="A37" s="1"/>
      <c r="B37" s="22" t="s">
        <v>67</v>
      </c>
      <c r="C37" s="41" t="s">
        <v>68</v>
      </c>
      <c r="D37" s="79">
        <v>115.8</v>
      </c>
      <c r="E37" s="79"/>
      <c r="F37" s="79"/>
      <c r="G37" s="76">
        <f t="shared" si="13"/>
        <v>115.8</v>
      </c>
      <c r="H37" s="76"/>
      <c r="I37" s="20">
        <f t="shared" si="14"/>
        <v>115.8</v>
      </c>
      <c r="J37" s="426">
        <v>4</v>
      </c>
      <c r="K37" s="427"/>
      <c r="L37" s="427"/>
      <c r="M37" s="361">
        <f t="shared" si="15"/>
        <v>4</v>
      </c>
      <c r="N37" s="361"/>
      <c r="O37" s="333">
        <f t="shared" si="16"/>
        <v>4</v>
      </c>
      <c r="P37" s="80">
        <v>37.799999999999997</v>
      </c>
      <c r="Q37" s="79"/>
      <c r="R37" s="79"/>
      <c r="S37" s="76">
        <f t="shared" si="17"/>
        <v>37.799999999999997</v>
      </c>
      <c r="T37" s="76"/>
      <c r="U37" s="20">
        <f t="shared" si="18"/>
        <v>37.799999999999997</v>
      </c>
      <c r="V37" s="80">
        <v>4</v>
      </c>
      <c r="W37" s="79"/>
      <c r="X37" s="79"/>
      <c r="Y37" s="76">
        <f t="shared" si="19"/>
        <v>4</v>
      </c>
      <c r="Z37" s="76"/>
      <c r="AA37" s="20">
        <f t="shared" si="20"/>
        <v>4</v>
      </c>
      <c r="AB37" s="21">
        <f t="shared" si="12"/>
        <v>1</v>
      </c>
      <c r="AC37" s="3"/>
      <c r="AD37" s="3"/>
    </row>
    <row r="38" spans="1:30" x14ac:dyDescent="0.25">
      <c r="A38" s="1"/>
      <c r="B38" s="22" t="s">
        <v>69</v>
      </c>
      <c r="C38" s="41" t="s">
        <v>70</v>
      </c>
      <c r="D38" s="79">
        <v>1825.9</v>
      </c>
      <c r="E38" s="79"/>
      <c r="F38" s="79"/>
      <c r="G38" s="76">
        <f t="shared" si="13"/>
        <v>1825.9</v>
      </c>
      <c r="H38" s="76"/>
      <c r="I38" s="20">
        <f t="shared" si="14"/>
        <v>1825.9</v>
      </c>
      <c r="J38" s="426">
        <v>1205</v>
      </c>
      <c r="K38" s="427"/>
      <c r="L38" s="427">
        <v>500</v>
      </c>
      <c r="M38" s="361">
        <f t="shared" si="15"/>
        <v>1705</v>
      </c>
      <c r="N38" s="361"/>
      <c r="O38" s="333">
        <f t="shared" si="16"/>
        <v>1705</v>
      </c>
      <c r="P38" s="80">
        <v>883.7</v>
      </c>
      <c r="Q38" s="79"/>
      <c r="R38" s="79"/>
      <c r="S38" s="76">
        <f t="shared" si="17"/>
        <v>883.7</v>
      </c>
      <c r="T38" s="76"/>
      <c r="U38" s="20">
        <f t="shared" si="18"/>
        <v>883.7</v>
      </c>
      <c r="V38" s="80">
        <v>1205</v>
      </c>
      <c r="W38" s="79"/>
      <c r="X38" s="79">
        <v>500</v>
      </c>
      <c r="Y38" s="76">
        <f t="shared" si="19"/>
        <v>1705</v>
      </c>
      <c r="Z38" s="76"/>
      <c r="AA38" s="20">
        <f t="shared" si="20"/>
        <v>1705</v>
      </c>
      <c r="AB38" s="21">
        <f t="shared" si="12"/>
        <v>1</v>
      </c>
      <c r="AC38" s="3"/>
      <c r="AD38" s="3"/>
    </row>
    <row r="39" spans="1:30" ht="15.75" thickBot="1" x14ac:dyDescent="0.3">
      <c r="A39" s="1"/>
      <c r="B39" s="83" t="s">
        <v>71</v>
      </c>
      <c r="C39" s="84" t="s">
        <v>72</v>
      </c>
      <c r="D39" s="85">
        <v>497.6</v>
      </c>
      <c r="E39" s="85">
        <v>792.8</v>
      </c>
      <c r="F39" s="89">
        <v>18.2</v>
      </c>
      <c r="G39" s="76">
        <f t="shared" si="13"/>
        <v>1308.6000000000001</v>
      </c>
      <c r="H39" s="87"/>
      <c r="I39" s="50">
        <f t="shared" si="14"/>
        <v>1308.6000000000001</v>
      </c>
      <c r="J39" s="431">
        <v>1115</v>
      </c>
      <c r="K39" s="432">
        <v>650</v>
      </c>
      <c r="L39" s="432">
        <v>100</v>
      </c>
      <c r="M39" s="364">
        <f t="shared" si="15"/>
        <v>1865</v>
      </c>
      <c r="N39" s="364"/>
      <c r="O39" s="351">
        <f t="shared" si="16"/>
        <v>1865</v>
      </c>
      <c r="P39" s="88">
        <v>213.8</v>
      </c>
      <c r="Q39" s="89">
        <v>272.39999999999998</v>
      </c>
      <c r="R39" s="89"/>
      <c r="S39" s="87">
        <f t="shared" si="17"/>
        <v>486.2</v>
      </c>
      <c r="T39" s="87"/>
      <c r="U39" s="50">
        <f t="shared" si="18"/>
        <v>486.2</v>
      </c>
      <c r="V39" s="88">
        <v>1245</v>
      </c>
      <c r="W39" s="89">
        <v>650</v>
      </c>
      <c r="X39" s="89">
        <v>50</v>
      </c>
      <c r="Y39" s="87">
        <f t="shared" si="19"/>
        <v>1945</v>
      </c>
      <c r="Z39" s="87"/>
      <c r="AA39" s="50">
        <f t="shared" si="20"/>
        <v>1945</v>
      </c>
      <c r="AB39" s="51">
        <f t="shared" si="12"/>
        <v>1.0428954423592494</v>
      </c>
      <c r="AC39" s="3"/>
      <c r="AD39" s="3"/>
    </row>
    <row r="40" spans="1:30" ht="15.75" thickBot="1" x14ac:dyDescent="0.3">
      <c r="A40" s="1"/>
      <c r="B40" s="52" t="s">
        <v>73</v>
      </c>
      <c r="C40" s="90" t="s">
        <v>74</v>
      </c>
      <c r="D40" s="91">
        <f>SUM(D36:D39)+SUM(D29:D33)</f>
        <v>8198</v>
      </c>
      <c r="E40" s="91">
        <f>SUM(E36:E39)+SUM(E29:E33)</f>
        <v>46144.2</v>
      </c>
      <c r="F40" s="91">
        <f>SUM(F36:F39)+SUM(F29:F33)</f>
        <v>2729.1</v>
      </c>
      <c r="G40" s="92">
        <f>SUM(D40:F40)</f>
        <v>57071.299999999996</v>
      </c>
      <c r="H40" s="93">
        <f>SUM(H29:H33)+SUM(H36:H39)</f>
        <v>37.9</v>
      </c>
      <c r="I40" s="94">
        <f>SUM(I36:I39)+SUM(I29:I33)</f>
        <v>57109</v>
      </c>
      <c r="J40" s="365">
        <f>SUM(J36:J39)+SUM(J29:J33)</f>
        <v>6718</v>
      </c>
      <c r="K40" s="365">
        <f>SUM(K36:K39)+SUM(K29:K33)</f>
        <v>44920</v>
      </c>
      <c r="L40" s="365">
        <f>SUM(L36:L39)+SUM(L29:L33)</f>
        <v>2550</v>
      </c>
      <c r="M40" s="366">
        <f>SUM(J40:L40)</f>
        <v>54188</v>
      </c>
      <c r="N40" s="367">
        <f>SUM(N29:N33)+SUM(N36:N39)</f>
        <v>200</v>
      </c>
      <c r="O40" s="368">
        <f>SUM(O36:O39)+SUM(O29:O33)</f>
        <v>54388</v>
      </c>
      <c r="P40" s="91">
        <f>SUM(P36:P39)+SUM(P29:P33)</f>
        <v>3647.3999999999996</v>
      </c>
      <c r="Q40" s="91">
        <f>SUM(Q36:Q39)+SUM(Q29:Q33)</f>
        <v>22076.7</v>
      </c>
      <c r="R40" s="91">
        <f>SUM(R36:R39)+SUM(R29:R33)</f>
        <v>1402.3</v>
      </c>
      <c r="S40" s="92">
        <f>SUM(P40:R40)</f>
        <v>27126.399999999998</v>
      </c>
      <c r="T40" s="93">
        <f>SUM(T29:T33)+SUM(T36:T39)</f>
        <v>27.6</v>
      </c>
      <c r="U40" s="94">
        <f>SUM(U36:U39)+SUM(U29:U33)</f>
        <v>27154</v>
      </c>
      <c r="V40" s="91">
        <f>SUM(V36:V39)+SUM(V29:V33)</f>
        <v>14470.4</v>
      </c>
      <c r="W40" s="91">
        <f>SUM(W36:W39)+SUM(W29:W33)</f>
        <v>40315.5</v>
      </c>
      <c r="X40" s="91">
        <f>SUM(X36:X39)+SUM(X29:X33)</f>
        <v>2550</v>
      </c>
      <c r="Y40" s="92">
        <f>SUM(V40:X40)</f>
        <v>57335.9</v>
      </c>
      <c r="Z40" s="93">
        <f>SUM(Z29:Z33)+SUM(Z36:Z39)</f>
        <v>200</v>
      </c>
      <c r="AA40" s="94">
        <f>SUM(AA36:AA39)+SUM(AA29:AA33)</f>
        <v>57535.899999999994</v>
      </c>
      <c r="AB40" s="95">
        <f t="shared" si="12"/>
        <v>1.057878576156505</v>
      </c>
      <c r="AC40" s="3"/>
      <c r="AD40" s="3"/>
    </row>
    <row r="41" spans="1:30" ht="19.5" thickBot="1" x14ac:dyDescent="0.35">
      <c r="A41" s="1"/>
      <c r="B41" s="96" t="s">
        <v>75</v>
      </c>
      <c r="C41" s="97" t="s">
        <v>76</v>
      </c>
      <c r="D41" s="98">
        <f t="shared" ref="D41:AA41" si="22">D25-D40</f>
        <v>-1457</v>
      </c>
      <c r="E41" s="98">
        <f t="shared" si="22"/>
        <v>49.80000000000291</v>
      </c>
      <c r="F41" s="98">
        <f t="shared" si="22"/>
        <v>1694.9</v>
      </c>
      <c r="G41" s="99">
        <f t="shared" si="22"/>
        <v>287.70000000000437</v>
      </c>
      <c r="H41" s="99">
        <f t="shared" si="22"/>
        <v>140.1</v>
      </c>
      <c r="I41" s="100">
        <f t="shared" si="22"/>
        <v>428</v>
      </c>
      <c r="J41" s="98">
        <f t="shared" si="22"/>
        <v>0</v>
      </c>
      <c r="K41" s="98">
        <f t="shared" si="22"/>
        <v>0</v>
      </c>
      <c r="L41" s="98">
        <f t="shared" si="22"/>
        <v>0</v>
      </c>
      <c r="M41" s="369">
        <f t="shared" si="22"/>
        <v>0</v>
      </c>
      <c r="N41" s="369">
        <f t="shared" si="22"/>
        <v>0</v>
      </c>
      <c r="O41" s="370">
        <f t="shared" si="22"/>
        <v>0</v>
      </c>
      <c r="P41" s="98">
        <f t="shared" si="22"/>
        <v>-258</v>
      </c>
      <c r="Q41" s="98">
        <f t="shared" si="22"/>
        <v>183.59999999999854</v>
      </c>
      <c r="R41" s="98">
        <f t="shared" si="22"/>
        <v>639.29999999999995</v>
      </c>
      <c r="S41" s="99">
        <f t="shared" si="22"/>
        <v>564.89999999999782</v>
      </c>
      <c r="T41" s="99">
        <f t="shared" si="22"/>
        <v>70.400000000000006</v>
      </c>
      <c r="U41" s="100">
        <f t="shared" si="22"/>
        <v>635.29999999999927</v>
      </c>
      <c r="V41" s="98">
        <f t="shared" si="22"/>
        <v>0</v>
      </c>
      <c r="W41" s="98">
        <f t="shared" si="22"/>
        <v>0</v>
      </c>
      <c r="X41" s="98">
        <f t="shared" si="22"/>
        <v>0</v>
      </c>
      <c r="Y41" s="99">
        <f t="shared" si="22"/>
        <v>0</v>
      </c>
      <c r="Z41" s="99">
        <f t="shared" si="22"/>
        <v>0</v>
      </c>
      <c r="AA41" s="100">
        <f t="shared" si="22"/>
        <v>0</v>
      </c>
      <c r="AB41" s="104" t="e">
        <f>(AA41/O41)</f>
        <v>#DIV/0!</v>
      </c>
      <c r="AC41" s="3"/>
      <c r="AD41" s="3"/>
    </row>
    <row r="42" spans="1:30" ht="15.75" thickBot="1" x14ac:dyDescent="0.3">
      <c r="A42" s="1"/>
      <c r="B42" s="105" t="s">
        <v>77</v>
      </c>
      <c r="C42" s="106" t="s">
        <v>78</v>
      </c>
      <c r="D42" s="107"/>
      <c r="E42" s="108"/>
      <c r="F42" s="108"/>
      <c r="G42" s="109"/>
      <c r="H42" s="110"/>
      <c r="I42" s="111">
        <f>I41-D16</f>
        <v>-6004</v>
      </c>
      <c r="J42" s="107"/>
      <c r="K42" s="108"/>
      <c r="L42" s="108"/>
      <c r="M42" s="109"/>
      <c r="N42" s="113"/>
      <c r="O42" s="111">
        <f>O41-J16</f>
        <v>-6209</v>
      </c>
      <c r="P42" s="107"/>
      <c r="Q42" s="108"/>
      <c r="R42" s="108"/>
      <c r="S42" s="109"/>
      <c r="T42" s="113"/>
      <c r="U42" s="111">
        <f>U41-P16</f>
        <v>-2469.3000000000006</v>
      </c>
      <c r="V42" s="107"/>
      <c r="W42" s="108"/>
      <c r="X42" s="108"/>
      <c r="Y42" s="109"/>
      <c r="Z42" s="113"/>
      <c r="AA42" s="111">
        <f>AA41-V16</f>
        <v>-6519.9</v>
      </c>
      <c r="AB42" s="21">
        <f t="shared" si="12"/>
        <v>1.050072475438879</v>
      </c>
      <c r="AC42" s="3"/>
      <c r="AD42" s="3"/>
    </row>
    <row r="43" spans="1:30" s="121" customFormat="1" ht="8.25" customHeight="1" thickBot="1" x14ac:dyDescent="0.3">
      <c r="A43" s="115"/>
      <c r="B43" s="116"/>
      <c r="C43" s="117"/>
      <c r="D43" s="118"/>
      <c r="E43" s="119"/>
      <c r="F43" s="119"/>
      <c r="G43" s="115"/>
      <c r="H43" s="119"/>
      <c r="I43" s="119"/>
      <c r="J43" s="118"/>
      <c r="K43" s="119"/>
      <c r="L43" s="119"/>
      <c r="M43" s="115"/>
      <c r="N43" s="119"/>
      <c r="O43" s="119"/>
      <c r="P43" s="119"/>
      <c r="Q43" s="119"/>
      <c r="R43" s="119"/>
      <c r="S43" s="119"/>
      <c r="T43" s="119"/>
      <c r="U43" s="119"/>
      <c r="V43" s="120"/>
      <c r="W43" s="120"/>
      <c r="X43" s="120"/>
      <c r="Y43" s="120"/>
      <c r="Z43" s="120"/>
      <c r="AA43" s="120"/>
      <c r="AB43" s="120"/>
      <c r="AC43" s="120"/>
      <c r="AD43" s="120"/>
    </row>
    <row r="44" spans="1:30" s="121" customFormat="1" ht="15.75" customHeight="1" thickBot="1" x14ac:dyDescent="0.3">
      <c r="A44" s="115"/>
      <c r="B44" s="122"/>
      <c r="C44" s="582" t="s">
        <v>79</v>
      </c>
      <c r="D44" s="123" t="s">
        <v>80</v>
      </c>
      <c r="E44" s="124" t="s">
        <v>81</v>
      </c>
      <c r="F44" s="125" t="s">
        <v>82</v>
      </c>
      <c r="G44" s="119"/>
      <c r="H44" s="119"/>
      <c r="I44" s="126"/>
      <c r="J44" s="123" t="s">
        <v>80</v>
      </c>
      <c r="K44" s="124" t="s">
        <v>81</v>
      </c>
      <c r="L44" s="125" t="s">
        <v>82</v>
      </c>
      <c r="M44" s="119"/>
      <c r="N44" s="119"/>
      <c r="O44" s="119"/>
      <c r="P44" s="123" t="s">
        <v>80</v>
      </c>
      <c r="Q44" s="124" t="s">
        <v>81</v>
      </c>
      <c r="R44" s="125" t="s">
        <v>82</v>
      </c>
      <c r="S44" s="120"/>
      <c r="T44" s="120"/>
      <c r="U44" s="120"/>
      <c r="V44" s="123" t="s">
        <v>80</v>
      </c>
      <c r="W44" s="124" t="s">
        <v>81</v>
      </c>
      <c r="X44" s="125" t="s">
        <v>82</v>
      </c>
      <c r="Y44" s="120"/>
      <c r="Z44" s="120"/>
      <c r="AA44" s="120"/>
      <c r="AB44" s="120"/>
      <c r="AC44" s="120"/>
      <c r="AD44" s="120"/>
    </row>
    <row r="45" spans="1:30" ht="15.75" thickBot="1" x14ac:dyDescent="0.3">
      <c r="A45" s="1"/>
      <c r="B45" s="122"/>
      <c r="C45" s="583"/>
      <c r="D45" s="127">
        <v>427.9</v>
      </c>
      <c r="E45" s="128">
        <v>427.9</v>
      </c>
      <c r="F45" s="129">
        <v>0</v>
      </c>
      <c r="G45" s="119"/>
      <c r="H45" s="119"/>
      <c r="I45" s="126"/>
      <c r="J45" s="127">
        <v>427.9</v>
      </c>
      <c r="K45" s="128">
        <v>427.9</v>
      </c>
      <c r="L45" s="129">
        <v>0</v>
      </c>
      <c r="M45" s="130"/>
      <c r="N45" s="130"/>
      <c r="O45" s="130"/>
      <c r="P45" s="127">
        <v>214</v>
      </c>
      <c r="Q45" s="128">
        <v>214</v>
      </c>
      <c r="R45" s="129">
        <v>0</v>
      </c>
      <c r="S45" s="3"/>
      <c r="T45" s="3"/>
      <c r="U45" s="3"/>
      <c r="V45" s="127">
        <v>427.9</v>
      </c>
      <c r="W45" s="128">
        <v>427.9</v>
      </c>
      <c r="X45" s="129">
        <v>0</v>
      </c>
      <c r="Y45" s="3"/>
      <c r="Z45" s="3"/>
      <c r="AA45" s="3"/>
      <c r="AB45" s="3"/>
      <c r="AC45" s="3"/>
      <c r="AD45" s="3"/>
    </row>
    <row r="46" spans="1:30" s="121" customFormat="1" ht="8.25" customHeight="1" thickBot="1" x14ac:dyDescent="0.3">
      <c r="A46" s="115"/>
      <c r="B46" s="122"/>
      <c r="C46" s="117"/>
      <c r="D46" s="130"/>
      <c r="E46" s="119"/>
      <c r="F46" s="119"/>
      <c r="G46" s="119"/>
      <c r="H46" s="119"/>
      <c r="I46" s="126"/>
      <c r="J46" s="119"/>
      <c r="K46" s="119"/>
      <c r="L46" s="119"/>
      <c r="M46" s="119"/>
      <c r="N46" s="119"/>
      <c r="O46" s="126"/>
      <c r="P46" s="126"/>
      <c r="Q46" s="126"/>
      <c r="R46" s="126"/>
      <c r="S46" s="126"/>
      <c r="T46" s="126"/>
      <c r="U46" s="126"/>
      <c r="V46" s="120"/>
      <c r="W46" s="120"/>
      <c r="X46" s="120"/>
      <c r="Y46" s="120"/>
      <c r="Z46" s="120"/>
      <c r="AA46" s="120"/>
      <c r="AB46" s="120"/>
      <c r="AC46" s="120"/>
      <c r="AD46" s="120"/>
    </row>
    <row r="47" spans="1:30" s="121" customFormat="1" ht="37.5" customHeight="1" thickBot="1" x14ac:dyDescent="0.3">
      <c r="A47" s="115"/>
      <c r="B47" s="122"/>
      <c r="C47" s="582" t="s">
        <v>83</v>
      </c>
      <c r="D47" s="131" t="s">
        <v>84</v>
      </c>
      <c r="E47" s="132" t="s">
        <v>85</v>
      </c>
      <c r="F47" s="119"/>
      <c r="G47" s="119"/>
      <c r="H47" s="119"/>
      <c r="I47" s="126"/>
      <c r="J47" s="131" t="s">
        <v>84</v>
      </c>
      <c r="K47" s="132" t="s">
        <v>85</v>
      </c>
      <c r="L47" s="133"/>
      <c r="M47" s="133"/>
      <c r="N47" s="120"/>
      <c r="O47" s="120"/>
      <c r="P47" s="131" t="s">
        <v>84</v>
      </c>
      <c r="Q47" s="132" t="s">
        <v>85</v>
      </c>
      <c r="R47" s="120"/>
      <c r="S47" s="120"/>
      <c r="T47" s="120"/>
      <c r="U47" s="120"/>
      <c r="V47" s="131" t="s">
        <v>84</v>
      </c>
      <c r="W47" s="132" t="s">
        <v>85</v>
      </c>
      <c r="X47" s="120"/>
      <c r="Y47" s="120"/>
      <c r="Z47" s="120"/>
      <c r="AA47" s="120"/>
      <c r="AB47" s="120"/>
      <c r="AC47" s="120"/>
      <c r="AD47" s="120"/>
    </row>
    <row r="48" spans="1:30" ht="15.75" thickBot="1" x14ac:dyDescent="0.3">
      <c r="A48" s="1"/>
      <c r="B48" s="134"/>
      <c r="C48" s="584"/>
      <c r="D48" s="127">
        <v>0</v>
      </c>
      <c r="E48" s="135">
        <v>0</v>
      </c>
      <c r="F48" s="119"/>
      <c r="G48" s="119"/>
      <c r="H48" s="119"/>
      <c r="I48" s="126"/>
      <c r="J48" s="127">
        <v>0</v>
      </c>
      <c r="K48" s="135">
        <v>0</v>
      </c>
      <c r="L48" s="136"/>
      <c r="M48" s="136"/>
      <c r="N48" s="3"/>
      <c r="O48" s="3"/>
      <c r="P48" s="127">
        <v>0</v>
      </c>
      <c r="Q48" s="135">
        <v>0</v>
      </c>
      <c r="R48" s="3"/>
      <c r="S48" s="3"/>
      <c r="T48" s="3"/>
      <c r="U48" s="3"/>
      <c r="V48" s="127">
        <v>0</v>
      </c>
      <c r="W48" s="135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34"/>
      <c r="C49" s="117"/>
      <c r="D49" s="119"/>
      <c r="E49" s="119"/>
      <c r="F49" s="119"/>
      <c r="G49" s="119"/>
      <c r="H49" s="119"/>
      <c r="I49" s="126"/>
      <c r="J49" s="119"/>
      <c r="K49" s="119"/>
      <c r="L49" s="119"/>
      <c r="M49" s="119"/>
      <c r="N49" s="119"/>
      <c r="O49" s="126"/>
      <c r="P49" s="126"/>
      <c r="Q49" s="126"/>
      <c r="R49" s="126"/>
      <c r="S49" s="126"/>
      <c r="T49" s="126"/>
      <c r="U49" s="126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1"/>
      <c r="B50" s="134"/>
      <c r="C50" s="137" t="s">
        <v>86</v>
      </c>
      <c r="D50" s="138" t="s">
        <v>87</v>
      </c>
      <c r="E50" s="138" t="s">
        <v>88</v>
      </c>
      <c r="F50" s="138" t="s">
        <v>89</v>
      </c>
      <c r="G50" s="138" t="s">
        <v>90</v>
      </c>
      <c r="H50" s="119"/>
      <c r="I50" s="3"/>
      <c r="J50" s="138" t="s">
        <v>87</v>
      </c>
      <c r="K50" s="138" t="s">
        <v>88</v>
      </c>
      <c r="L50" s="138" t="s">
        <v>89</v>
      </c>
      <c r="M50" s="138" t="s">
        <v>91</v>
      </c>
      <c r="N50" s="3"/>
      <c r="O50" s="3"/>
      <c r="P50" s="138" t="s">
        <v>87</v>
      </c>
      <c r="Q50" s="138" t="s">
        <v>88</v>
      </c>
      <c r="R50" s="138" t="s">
        <v>89</v>
      </c>
      <c r="S50" s="138" t="s">
        <v>91</v>
      </c>
      <c r="T50" s="3"/>
      <c r="U50" s="3"/>
      <c r="V50" s="138" t="s">
        <v>92</v>
      </c>
      <c r="W50" s="138" t="s">
        <v>88</v>
      </c>
      <c r="X50" s="138" t="s">
        <v>89</v>
      </c>
      <c r="Y50" s="138" t="s">
        <v>91</v>
      </c>
      <c r="Z50" s="3"/>
      <c r="AA50" s="3"/>
      <c r="AB50" s="3"/>
      <c r="AC50" s="3"/>
      <c r="AD50" s="3"/>
    </row>
    <row r="51" spans="1:30" x14ac:dyDescent="0.25">
      <c r="A51" s="1"/>
      <c r="B51" s="134"/>
      <c r="C51" s="139" t="s">
        <v>93</v>
      </c>
      <c r="D51" s="140">
        <v>6376.5</v>
      </c>
      <c r="E51" s="140">
        <v>3066.1</v>
      </c>
      <c r="F51" s="140">
        <v>3684</v>
      </c>
      <c r="G51" s="141">
        <f>D51+E51-F51</f>
        <v>5758.6</v>
      </c>
      <c r="H51" s="119"/>
      <c r="I51" s="3"/>
      <c r="J51" s="141">
        <v>4269.3999999999996</v>
      </c>
      <c r="K51" s="140">
        <v>1230</v>
      </c>
      <c r="L51" s="140">
        <v>997.9</v>
      </c>
      <c r="M51" s="141">
        <f>J51+K51-L51</f>
        <v>4501.5</v>
      </c>
      <c r="N51" s="3"/>
      <c r="O51" s="3"/>
      <c r="P51" s="140">
        <v>5758.6</v>
      </c>
      <c r="Q51" s="140">
        <v>1051.5999999999999</v>
      </c>
      <c r="R51" s="140">
        <v>1981.4</v>
      </c>
      <c r="S51" s="141">
        <f>P51+Q51-R51</f>
        <v>4828.8000000000011</v>
      </c>
      <c r="T51" s="3"/>
      <c r="U51" s="3"/>
      <c r="V51" s="140">
        <v>4828.8</v>
      </c>
      <c r="W51" s="140"/>
      <c r="X51" s="140"/>
      <c r="Y51" s="141">
        <f>V51+W51-X51</f>
        <v>4828.8</v>
      </c>
      <c r="Z51" s="3"/>
      <c r="AA51" s="3"/>
      <c r="AB51" s="3"/>
      <c r="AC51" s="3"/>
      <c r="AD51" s="3"/>
    </row>
    <row r="52" spans="1:30" x14ac:dyDescent="0.25">
      <c r="A52" s="1"/>
      <c r="B52" s="134"/>
      <c r="C52" s="139" t="s">
        <v>94</v>
      </c>
      <c r="D52" s="140">
        <v>3490</v>
      </c>
      <c r="E52" s="140">
        <v>1917.7</v>
      </c>
      <c r="F52" s="140">
        <v>2675.6</v>
      </c>
      <c r="G52" s="141">
        <f t="shared" ref="G52:G55" si="23">D52+E52-F52</f>
        <v>2732.1</v>
      </c>
      <c r="H52" s="119"/>
      <c r="I52" s="3"/>
      <c r="J52" s="141">
        <v>1249.0999999999999</v>
      </c>
      <c r="K52" s="140">
        <v>200</v>
      </c>
      <c r="L52" s="140">
        <v>250</v>
      </c>
      <c r="M52" s="141">
        <f t="shared" ref="M52:M55" si="24">J52+K52-L52</f>
        <v>1199.0999999999999</v>
      </c>
      <c r="N52" s="3"/>
      <c r="O52" s="3"/>
      <c r="P52" s="140">
        <v>2732.1</v>
      </c>
      <c r="Q52" s="140">
        <v>450.6</v>
      </c>
      <c r="R52" s="140">
        <v>1584.3</v>
      </c>
      <c r="S52" s="141">
        <f t="shared" ref="S52:S55" si="25">P52+Q52-R52</f>
        <v>1598.3999999999999</v>
      </c>
      <c r="T52" s="3"/>
      <c r="U52" s="3"/>
      <c r="V52" s="140">
        <v>1598.4</v>
      </c>
      <c r="W52" s="140"/>
      <c r="X52" s="140"/>
      <c r="Y52" s="141">
        <f t="shared" ref="Y52:Y55" si="26">V52+W52-X52</f>
        <v>1598.4</v>
      </c>
      <c r="Z52" s="3"/>
      <c r="AA52" s="3"/>
      <c r="AB52" s="3"/>
      <c r="AC52" s="3"/>
      <c r="AD52" s="3"/>
    </row>
    <row r="53" spans="1:30" x14ac:dyDescent="0.25">
      <c r="A53" s="1"/>
      <c r="B53" s="134"/>
      <c r="C53" s="139" t="s">
        <v>95</v>
      </c>
      <c r="D53" s="140">
        <v>2101.5</v>
      </c>
      <c r="E53" s="140">
        <v>723.7</v>
      </c>
      <c r="F53" s="140">
        <v>427.9</v>
      </c>
      <c r="G53" s="141">
        <f t="shared" si="23"/>
        <v>2397.2999999999997</v>
      </c>
      <c r="H53" s="119"/>
      <c r="I53" s="3"/>
      <c r="J53" s="141">
        <v>2252.3000000000002</v>
      </c>
      <c r="K53" s="140">
        <v>720</v>
      </c>
      <c r="L53" s="140">
        <v>427.9</v>
      </c>
      <c r="M53" s="141">
        <f t="shared" si="24"/>
        <v>2544.4</v>
      </c>
      <c r="N53" s="3"/>
      <c r="O53" s="3"/>
      <c r="P53" s="140">
        <v>2397.3000000000002</v>
      </c>
      <c r="Q53" s="140">
        <v>358.1</v>
      </c>
      <c r="R53" s="140">
        <v>214</v>
      </c>
      <c r="S53" s="141">
        <f t="shared" si="25"/>
        <v>2541.4</v>
      </c>
      <c r="T53" s="3"/>
      <c r="U53" s="3"/>
      <c r="V53" s="140">
        <v>2541.4</v>
      </c>
      <c r="W53" s="140"/>
      <c r="X53" s="140"/>
      <c r="Y53" s="141">
        <f t="shared" si="26"/>
        <v>2541.4</v>
      </c>
      <c r="Z53" s="3"/>
      <c r="AA53" s="3"/>
      <c r="AB53" s="3"/>
      <c r="AC53" s="3"/>
      <c r="AD53" s="3"/>
    </row>
    <row r="54" spans="1:30" x14ac:dyDescent="0.25">
      <c r="A54" s="1"/>
      <c r="B54" s="134"/>
      <c r="C54" s="139" t="s">
        <v>96</v>
      </c>
      <c r="D54" s="140">
        <v>341</v>
      </c>
      <c r="E54" s="140">
        <v>92</v>
      </c>
      <c r="F54" s="140"/>
      <c r="G54" s="141">
        <f t="shared" si="23"/>
        <v>433</v>
      </c>
      <c r="H54" s="119"/>
      <c r="I54" s="3"/>
      <c r="J54" s="141">
        <v>433</v>
      </c>
      <c r="K54" s="140">
        <v>30</v>
      </c>
      <c r="L54" s="140">
        <v>20</v>
      </c>
      <c r="M54" s="141">
        <f t="shared" si="24"/>
        <v>443</v>
      </c>
      <c r="N54" s="3"/>
      <c r="O54" s="3"/>
      <c r="P54" s="140">
        <v>433</v>
      </c>
      <c r="Q54" s="140">
        <v>85</v>
      </c>
      <c r="R54" s="140"/>
      <c r="S54" s="141">
        <f t="shared" si="25"/>
        <v>518</v>
      </c>
      <c r="T54" s="3"/>
      <c r="U54" s="3"/>
      <c r="V54" s="140">
        <v>518</v>
      </c>
      <c r="W54" s="140"/>
      <c r="X54" s="140"/>
      <c r="Y54" s="141">
        <f t="shared" si="26"/>
        <v>518</v>
      </c>
      <c r="Z54" s="3"/>
      <c r="AA54" s="3"/>
      <c r="AB54" s="3"/>
      <c r="AC54" s="3"/>
      <c r="AD54" s="3"/>
    </row>
    <row r="55" spans="1:30" x14ac:dyDescent="0.25">
      <c r="A55" s="1"/>
      <c r="B55" s="134"/>
      <c r="C55" s="142" t="s">
        <v>97</v>
      </c>
      <c r="D55" s="140">
        <v>444</v>
      </c>
      <c r="E55" s="140">
        <v>332.7</v>
      </c>
      <c r="F55" s="140">
        <v>580.5</v>
      </c>
      <c r="G55" s="141">
        <f t="shared" si="23"/>
        <v>196.20000000000005</v>
      </c>
      <c r="H55" s="119"/>
      <c r="I55" s="3"/>
      <c r="J55" s="141">
        <v>335</v>
      </c>
      <c r="K55" s="140">
        <v>280</v>
      </c>
      <c r="L55" s="140">
        <v>300</v>
      </c>
      <c r="M55" s="141">
        <f t="shared" si="24"/>
        <v>315</v>
      </c>
      <c r="N55" s="3"/>
      <c r="O55" s="3"/>
      <c r="P55" s="140">
        <v>196.2</v>
      </c>
      <c r="Q55" s="140">
        <v>157.9</v>
      </c>
      <c r="R55" s="140">
        <v>183.1</v>
      </c>
      <c r="S55" s="141">
        <f t="shared" si="25"/>
        <v>171.00000000000003</v>
      </c>
      <c r="T55" s="3"/>
      <c r="U55" s="3"/>
      <c r="V55" s="140">
        <v>171</v>
      </c>
      <c r="W55" s="140"/>
      <c r="X55" s="140"/>
      <c r="Y55" s="141">
        <f t="shared" si="26"/>
        <v>171</v>
      </c>
      <c r="Z55" s="3"/>
      <c r="AA55" s="3"/>
      <c r="AB55" s="3"/>
      <c r="AC55" s="3"/>
      <c r="AD55" s="3"/>
    </row>
    <row r="56" spans="1:30" ht="10.5" customHeight="1" x14ac:dyDescent="0.25">
      <c r="A56" s="1"/>
      <c r="B56" s="134"/>
      <c r="C56" s="117"/>
      <c r="D56" s="119"/>
      <c r="E56" s="119"/>
      <c r="F56" s="119"/>
      <c r="G56" s="119"/>
      <c r="H56" s="11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34"/>
      <c r="C57" s="137" t="s">
        <v>98</v>
      </c>
      <c r="D57" s="138" t="s">
        <v>99</v>
      </c>
      <c r="E57" s="138" t="s">
        <v>100</v>
      </c>
      <c r="F57" s="119"/>
      <c r="G57" s="119"/>
      <c r="H57" s="119"/>
      <c r="I57" s="126"/>
      <c r="J57" s="138" t="s">
        <v>101</v>
      </c>
      <c r="K57" s="119"/>
      <c r="L57" s="119"/>
      <c r="M57" s="119"/>
      <c r="N57" s="119"/>
      <c r="O57" s="126"/>
      <c r="P57" s="138" t="s">
        <v>102</v>
      </c>
      <c r="Q57" s="126"/>
      <c r="R57" s="126"/>
      <c r="S57" s="3"/>
      <c r="T57" s="3"/>
      <c r="U57" s="3"/>
      <c r="V57" s="704" t="s">
        <v>98</v>
      </c>
      <c r="W57" s="704"/>
      <c r="X57" s="704"/>
      <c r="Y57" s="138" t="s">
        <v>101</v>
      </c>
      <c r="Z57" s="3"/>
      <c r="AA57" s="3"/>
      <c r="AB57" s="3"/>
      <c r="AC57" s="3"/>
      <c r="AD57" s="3"/>
    </row>
    <row r="58" spans="1:30" x14ac:dyDescent="0.25">
      <c r="A58" s="1"/>
      <c r="B58" s="134"/>
      <c r="C58" s="371" t="s">
        <v>128</v>
      </c>
      <c r="D58" s="372">
        <v>60</v>
      </c>
      <c r="E58" s="372">
        <v>61.6</v>
      </c>
      <c r="F58" s="119"/>
      <c r="G58" s="119"/>
      <c r="H58" s="119"/>
      <c r="I58" s="126"/>
      <c r="J58" s="143">
        <v>65</v>
      </c>
      <c r="K58" s="119"/>
      <c r="L58" s="119"/>
      <c r="M58" s="119"/>
      <c r="N58" s="119"/>
      <c r="O58" s="126"/>
      <c r="P58" s="143">
        <v>64.42</v>
      </c>
      <c r="Q58" s="126"/>
      <c r="R58" s="126"/>
      <c r="S58" s="3"/>
      <c r="T58" s="3"/>
      <c r="U58" s="3"/>
      <c r="V58" s="698" t="s">
        <v>128</v>
      </c>
      <c r="W58" s="698"/>
      <c r="X58" s="698"/>
      <c r="Y58" s="143">
        <v>65</v>
      </c>
      <c r="Z58" s="3"/>
      <c r="AA58" s="3"/>
      <c r="AB58" s="3"/>
      <c r="AC58" s="3"/>
      <c r="AD58" s="3"/>
    </row>
    <row r="59" spans="1:30" x14ac:dyDescent="0.25">
      <c r="A59" s="1"/>
      <c r="B59" s="134"/>
      <c r="C59" s="373"/>
      <c r="D59" s="374"/>
      <c r="E59" s="374"/>
      <c r="F59" s="119"/>
      <c r="G59" s="119"/>
      <c r="H59" s="119"/>
      <c r="I59" s="126"/>
      <c r="J59" s="130"/>
      <c r="K59" s="119"/>
      <c r="L59" s="119"/>
      <c r="M59" s="119"/>
      <c r="N59" s="119"/>
      <c r="O59" s="126"/>
      <c r="P59" s="130"/>
      <c r="Q59" s="126"/>
      <c r="R59" s="126"/>
      <c r="S59" s="3"/>
      <c r="T59" s="3"/>
      <c r="U59" s="3"/>
      <c r="V59" s="698" t="s">
        <v>129</v>
      </c>
      <c r="W59" s="698"/>
      <c r="X59" s="698"/>
      <c r="Y59" s="143">
        <v>14.3</v>
      </c>
      <c r="Z59" s="3"/>
      <c r="AA59" s="567" t="s">
        <v>291</v>
      </c>
      <c r="AB59" s="568"/>
      <c r="AC59" s="3"/>
      <c r="AD59" s="3"/>
    </row>
    <row r="60" spans="1:30" s="3" customFormat="1" x14ac:dyDescent="0.25">
      <c r="A60" s="1"/>
      <c r="B60" s="134"/>
      <c r="C60" s="117"/>
      <c r="D60" s="130"/>
      <c r="E60" s="130"/>
      <c r="F60" s="119"/>
      <c r="G60" s="119"/>
      <c r="H60" s="119"/>
      <c r="I60" s="126"/>
      <c r="J60" s="130"/>
      <c r="K60" s="119"/>
      <c r="L60" s="119"/>
      <c r="M60" s="119"/>
      <c r="N60" s="119"/>
      <c r="O60" s="126"/>
      <c r="P60" s="130"/>
      <c r="Q60" s="126"/>
      <c r="R60" s="126"/>
      <c r="S60" s="126"/>
      <c r="T60" s="126"/>
      <c r="U60" s="126"/>
      <c r="V60" s="130"/>
      <c r="AA60" s="567" t="s">
        <v>292</v>
      </c>
      <c r="AB60" s="568"/>
    </row>
    <row r="61" spans="1:30" x14ac:dyDescent="0.25">
      <c r="A61" s="1"/>
      <c r="B61" s="134"/>
      <c r="C61" s="117"/>
      <c r="D61" s="699"/>
      <c r="E61" s="699"/>
      <c r="F61" s="119"/>
      <c r="G61" s="119"/>
      <c r="H61" s="119"/>
      <c r="I61" s="126"/>
      <c r="J61" s="375"/>
      <c r="K61" s="119"/>
      <c r="L61" s="119"/>
      <c r="M61" s="119"/>
      <c r="N61" s="119"/>
      <c r="O61" s="126"/>
      <c r="P61" s="375"/>
      <c r="Q61" s="126"/>
      <c r="R61" s="126"/>
      <c r="S61" s="126"/>
      <c r="T61" s="126"/>
      <c r="U61" s="126"/>
      <c r="V61" s="700" t="s">
        <v>130</v>
      </c>
      <c r="W61" s="701"/>
      <c r="X61" s="702"/>
      <c r="Y61" s="143">
        <v>5313.3</v>
      </c>
      <c r="Z61" s="3"/>
      <c r="AA61" s="567" t="s">
        <v>293</v>
      </c>
      <c r="AB61" s="568">
        <v>0</v>
      </c>
      <c r="AC61" s="3"/>
      <c r="AD61" s="3"/>
    </row>
    <row r="62" spans="1:30" s="3" customFormat="1" x14ac:dyDescent="0.25">
      <c r="A62" s="1"/>
      <c r="B62" s="134"/>
      <c r="C62" s="117"/>
      <c r="D62" s="375"/>
      <c r="E62" s="375"/>
      <c r="F62" s="119"/>
      <c r="G62" s="119"/>
      <c r="H62" s="119"/>
      <c r="I62" s="126"/>
      <c r="J62" s="375"/>
      <c r="K62" s="119"/>
      <c r="L62" s="119"/>
      <c r="M62" s="119"/>
      <c r="N62" s="119"/>
      <c r="O62" s="126"/>
      <c r="P62" s="375"/>
      <c r="Q62" s="126"/>
      <c r="R62" s="126"/>
      <c r="S62" s="126"/>
      <c r="T62" s="126"/>
      <c r="U62" s="126"/>
      <c r="V62" s="130"/>
    </row>
    <row r="63" spans="1:30" x14ac:dyDescent="0.25">
      <c r="A63" s="1"/>
      <c r="B63" s="134"/>
      <c r="C63" s="3"/>
      <c r="D63" s="3"/>
      <c r="E63" s="3"/>
      <c r="F63" s="118"/>
      <c r="G63" s="119"/>
      <c r="H63" s="119"/>
      <c r="I63" s="126"/>
      <c r="J63" s="375"/>
      <c r="K63" s="375"/>
      <c r="L63" s="3"/>
      <c r="M63" s="376"/>
      <c r="N63" s="3"/>
      <c r="O63" s="3"/>
      <c r="P63" s="3"/>
      <c r="Q63" s="118"/>
      <c r="R63" s="3"/>
      <c r="S63" s="3"/>
      <c r="T63" s="3"/>
      <c r="U63" s="703" t="s">
        <v>131</v>
      </c>
      <c r="V63" s="703"/>
      <c r="W63" s="703"/>
      <c r="X63" s="703"/>
      <c r="Y63" s="377" t="s">
        <v>132</v>
      </c>
      <c r="Z63" s="3"/>
      <c r="AA63" s="378" t="s">
        <v>133</v>
      </c>
      <c r="AB63" s="379"/>
      <c r="AC63" s="3"/>
      <c r="AD63" s="4"/>
    </row>
    <row r="64" spans="1:30" x14ac:dyDescent="0.25">
      <c r="A64" s="1"/>
      <c r="B64" s="134"/>
      <c r="C64" s="3"/>
      <c r="D64" s="3"/>
      <c r="E64" s="3"/>
      <c r="F64" s="119"/>
      <c r="G64" s="119"/>
      <c r="H64" s="119"/>
      <c r="I64" s="126"/>
      <c r="J64" s="375"/>
      <c r="K64" s="375"/>
      <c r="L64" s="3"/>
      <c r="M64" s="376"/>
      <c r="N64" s="3"/>
      <c r="O64" s="3"/>
      <c r="P64" s="3"/>
      <c r="Q64" s="119"/>
      <c r="R64" s="3"/>
      <c r="S64" s="3"/>
      <c r="T64" s="3"/>
      <c r="U64" s="698" t="s">
        <v>134</v>
      </c>
      <c r="V64" s="698"/>
      <c r="W64" s="698"/>
      <c r="X64" s="698"/>
      <c r="Y64" s="380">
        <v>5313.3</v>
      </c>
      <c r="Z64" s="3"/>
      <c r="AA64" s="381" t="s">
        <v>135</v>
      </c>
      <c r="AB64" s="382">
        <v>362.4</v>
      </c>
      <c r="AC64" s="3"/>
      <c r="AD64" s="4"/>
    </row>
    <row r="65" spans="1:30" x14ac:dyDescent="0.25">
      <c r="A65" s="1"/>
      <c r="B65" s="134"/>
      <c r="C65" s="3"/>
      <c r="D65" s="3"/>
      <c r="E65" s="3"/>
      <c r="F65" s="119"/>
      <c r="G65" s="119"/>
      <c r="H65" s="119"/>
      <c r="I65" s="126"/>
      <c r="J65" s="375"/>
      <c r="K65" s="375"/>
      <c r="L65" s="3"/>
      <c r="M65" s="376"/>
      <c r="N65" s="3"/>
      <c r="O65" s="3"/>
      <c r="P65" s="3"/>
      <c r="Q65" s="119"/>
      <c r="R65" s="3"/>
      <c r="S65" s="3"/>
      <c r="T65" s="3"/>
      <c r="U65" s="698" t="s">
        <v>136</v>
      </c>
      <c r="V65" s="698"/>
      <c r="W65" s="698"/>
      <c r="X65" s="698"/>
      <c r="Y65" s="380">
        <v>1795.9</v>
      </c>
      <c r="Z65" s="3"/>
      <c r="AA65" s="381" t="s">
        <v>137</v>
      </c>
      <c r="AB65" s="382">
        <v>84</v>
      </c>
      <c r="AC65" s="3"/>
      <c r="AD65" s="4"/>
    </row>
    <row r="66" spans="1:30" x14ac:dyDescent="0.25">
      <c r="A66" s="1"/>
      <c r="B66" s="134"/>
      <c r="C66" s="3"/>
      <c r="D66" s="3"/>
      <c r="E66" s="3"/>
      <c r="F66" s="119"/>
      <c r="G66" s="119"/>
      <c r="H66" s="119"/>
      <c r="I66" s="126"/>
      <c r="J66" s="375"/>
      <c r="K66" s="375"/>
      <c r="L66" s="3"/>
      <c r="M66" s="376"/>
      <c r="N66" s="3"/>
      <c r="O66" s="3"/>
      <c r="P66" s="3"/>
      <c r="Q66" s="119"/>
      <c r="R66" s="3"/>
      <c r="S66" s="3"/>
      <c r="T66" s="3"/>
      <c r="U66" s="698" t="s">
        <v>230</v>
      </c>
      <c r="V66" s="698"/>
      <c r="W66" s="698"/>
      <c r="X66" s="698"/>
      <c r="Y66" s="380">
        <v>0</v>
      </c>
      <c r="Z66" s="3"/>
      <c r="AA66" s="381" t="s">
        <v>139</v>
      </c>
      <c r="AB66" s="382">
        <v>800.7</v>
      </c>
      <c r="AC66" s="3"/>
      <c r="AD66" s="4"/>
    </row>
    <row r="67" spans="1:30" x14ac:dyDescent="0.25">
      <c r="A67" s="3"/>
      <c r="B67" s="3"/>
      <c r="C67" s="3"/>
      <c r="D67" s="3"/>
      <c r="E67" s="3"/>
      <c r="F67" s="120"/>
      <c r="G67" s="3"/>
      <c r="H67" s="3"/>
      <c r="I67" s="3"/>
      <c r="J67" s="120"/>
      <c r="K67" s="120"/>
      <c r="L67" s="3"/>
      <c r="M67" s="376"/>
      <c r="N67" s="3"/>
      <c r="O67" s="3"/>
      <c r="P67" s="3"/>
      <c r="Q67" s="3"/>
      <c r="R67" s="3"/>
      <c r="S67" s="3"/>
      <c r="T67" s="3"/>
      <c r="U67" s="698" t="s">
        <v>140</v>
      </c>
      <c r="V67" s="698"/>
      <c r="W67" s="698"/>
      <c r="X67" s="698"/>
      <c r="Y67" s="380">
        <v>53.1</v>
      </c>
      <c r="Z67" s="3"/>
      <c r="AA67" s="3"/>
      <c r="AB67" s="3"/>
      <c r="AC67" s="3"/>
      <c r="AD67" s="4"/>
    </row>
    <row r="68" spans="1:30" x14ac:dyDescent="0.25">
      <c r="A68" s="1"/>
      <c r="B68" s="134"/>
      <c r="C68" s="3"/>
      <c r="D68" s="3"/>
      <c r="E68" s="3"/>
      <c r="F68" s="119"/>
      <c r="G68" s="119"/>
      <c r="H68" s="119"/>
      <c r="I68" s="126"/>
      <c r="J68" s="136"/>
      <c r="K68" s="136"/>
      <c r="L68" s="3"/>
      <c r="M68" s="376"/>
      <c r="N68" s="3"/>
      <c r="O68" s="3"/>
      <c r="P68" s="3"/>
      <c r="Q68" s="119"/>
      <c r="R68" s="3"/>
      <c r="S68" s="3"/>
      <c r="T68" s="3"/>
      <c r="U68" s="698" t="s">
        <v>141</v>
      </c>
      <c r="V68" s="698"/>
      <c r="W68" s="698"/>
      <c r="X68" s="698"/>
      <c r="Y68" s="477">
        <v>788.2</v>
      </c>
      <c r="Z68" s="3"/>
      <c r="AA68" s="3"/>
      <c r="AB68" s="3"/>
      <c r="AC68" s="3"/>
      <c r="AD68" s="4"/>
    </row>
    <row r="69" spans="1:30" x14ac:dyDescent="0.25">
      <c r="A69" s="1"/>
      <c r="B69" s="134"/>
      <c r="C69" s="3"/>
      <c r="D69" s="3"/>
      <c r="E69" s="3"/>
      <c r="F69" s="119"/>
      <c r="G69" s="119"/>
      <c r="H69" s="119"/>
      <c r="I69" s="126"/>
      <c r="J69" s="375"/>
      <c r="K69" s="375"/>
      <c r="L69" s="3"/>
      <c r="M69" s="376"/>
      <c r="N69" s="3"/>
      <c r="O69" s="3"/>
      <c r="P69" s="3"/>
      <c r="Q69" s="119"/>
      <c r="R69" s="3"/>
      <c r="S69" s="3"/>
      <c r="T69" s="3"/>
      <c r="U69" s="697" t="s">
        <v>142</v>
      </c>
      <c r="V69" s="697"/>
      <c r="W69" s="697"/>
      <c r="X69" s="697"/>
      <c r="Y69" s="380">
        <v>550</v>
      </c>
      <c r="Z69" s="3"/>
      <c r="AA69" s="3"/>
      <c r="AB69" s="3"/>
      <c r="AC69" s="3"/>
      <c r="AD69" s="4"/>
    </row>
    <row r="70" spans="1:30" x14ac:dyDescent="0.25">
      <c r="A70" s="1"/>
      <c r="B70" s="134"/>
      <c r="C70" s="3"/>
      <c r="D70" s="3"/>
      <c r="E70" s="3"/>
      <c r="F70" s="119"/>
      <c r="G70" s="119"/>
      <c r="H70" s="119"/>
      <c r="I70" s="126"/>
      <c r="J70" s="375"/>
      <c r="K70" s="375"/>
      <c r="L70" s="3"/>
      <c r="M70" s="376"/>
      <c r="N70" s="3"/>
      <c r="O70" s="3"/>
      <c r="P70" s="3"/>
      <c r="Q70" s="119"/>
      <c r="R70" s="3"/>
      <c r="S70" s="3"/>
      <c r="T70" s="3"/>
      <c r="U70" s="697" t="s">
        <v>143</v>
      </c>
      <c r="V70" s="697"/>
      <c r="W70" s="697"/>
      <c r="X70" s="697"/>
      <c r="Y70" s="380">
        <v>70</v>
      </c>
      <c r="Z70" s="3"/>
      <c r="AA70" s="3"/>
      <c r="AB70" s="3"/>
      <c r="AC70" s="3"/>
      <c r="AD70" s="4"/>
    </row>
    <row r="71" spans="1:30" x14ac:dyDescent="0.25">
      <c r="A71" s="1"/>
      <c r="B71" s="134"/>
      <c r="C71" s="3"/>
      <c r="D71" s="3"/>
      <c r="E71" s="3"/>
      <c r="F71" s="119"/>
      <c r="G71" s="119"/>
      <c r="H71" s="119"/>
      <c r="I71" s="126"/>
      <c r="J71" s="375"/>
      <c r="K71" s="375"/>
      <c r="L71" s="3"/>
      <c r="M71" s="376"/>
      <c r="N71" s="3"/>
      <c r="O71" s="3"/>
      <c r="P71" s="3"/>
      <c r="Q71" s="119"/>
      <c r="R71" s="3"/>
      <c r="S71" s="3"/>
      <c r="T71" s="3"/>
      <c r="U71" s="697" t="s">
        <v>144</v>
      </c>
      <c r="V71" s="697"/>
      <c r="W71" s="697"/>
      <c r="X71" s="697"/>
      <c r="Y71" s="380">
        <v>65</v>
      </c>
      <c r="Z71" s="3"/>
      <c r="AA71" s="3"/>
      <c r="AB71" s="3"/>
      <c r="AC71" s="3"/>
      <c r="AD71" s="4"/>
    </row>
    <row r="72" spans="1:30" x14ac:dyDescent="0.25">
      <c r="A72" s="1"/>
      <c r="B72" s="134"/>
      <c r="C72" s="3"/>
      <c r="D72" s="3"/>
      <c r="E72" s="3"/>
      <c r="F72" s="119"/>
      <c r="G72" s="119"/>
      <c r="H72" s="119"/>
      <c r="I72" s="126"/>
      <c r="J72" s="375"/>
      <c r="K72" s="375"/>
      <c r="L72" s="3"/>
      <c r="M72" s="376"/>
      <c r="N72" s="3"/>
      <c r="O72" s="3"/>
      <c r="P72" s="3"/>
      <c r="Q72" s="119"/>
      <c r="R72" s="3"/>
      <c r="S72" s="3"/>
      <c r="T72" s="3"/>
      <c r="U72" s="697" t="s">
        <v>145</v>
      </c>
      <c r="V72" s="697"/>
      <c r="W72" s="697"/>
      <c r="X72" s="697"/>
      <c r="Y72" s="380">
        <v>103.2</v>
      </c>
      <c r="Z72" s="3"/>
      <c r="AA72" s="3"/>
      <c r="AB72" s="3"/>
      <c r="AC72" s="3"/>
      <c r="AD72" s="4"/>
    </row>
    <row r="73" spans="1:30" x14ac:dyDescent="0.25">
      <c r="A73" s="1"/>
      <c r="B73" s="134"/>
      <c r="C73" s="383"/>
      <c r="D73" s="119"/>
      <c r="E73" s="119"/>
      <c r="F73" s="119"/>
      <c r="G73" s="119"/>
      <c r="H73" s="119"/>
      <c r="I73" s="126"/>
      <c r="J73" s="119"/>
      <c r="K73" s="119"/>
      <c r="L73" s="3"/>
      <c r="M73" s="376"/>
      <c r="N73" s="3"/>
      <c r="O73" s="3"/>
      <c r="P73" s="3"/>
      <c r="Q73" s="384"/>
      <c r="R73" s="3"/>
      <c r="S73" s="3"/>
      <c r="T73" s="3"/>
      <c r="U73" s="126"/>
      <c r="V73" s="126"/>
      <c r="W73" s="126"/>
      <c r="X73" s="119"/>
      <c r="Y73" s="119">
        <f>SUM(Y64:Y68)</f>
        <v>7950.5000000000009</v>
      </c>
      <c r="Z73" s="3"/>
      <c r="AA73" s="3"/>
      <c r="AB73" s="3"/>
      <c r="AC73" s="3"/>
      <c r="AD73" s="4"/>
    </row>
    <row r="74" spans="1:30" x14ac:dyDescent="0.25">
      <c r="A74" s="1"/>
      <c r="B74" s="134"/>
      <c r="C74" s="117"/>
      <c r="D74" s="119"/>
      <c r="E74" s="119"/>
      <c r="F74" s="119"/>
      <c r="G74" s="119"/>
      <c r="H74" s="119"/>
      <c r="I74" s="126"/>
      <c r="J74" s="119"/>
      <c r="K74" s="119"/>
      <c r="L74" s="119"/>
      <c r="M74" s="119"/>
      <c r="N74" s="119"/>
      <c r="O74" s="126"/>
      <c r="P74" s="119"/>
      <c r="Q74" s="119"/>
      <c r="R74" s="119"/>
      <c r="S74" s="126"/>
      <c r="T74" s="126"/>
      <c r="U74" s="126"/>
      <c r="V74" s="119"/>
      <c r="W74" s="119"/>
      <c r="X74" s="119"/>
      <c r="Y74" s="3"/>
      <c r="Z74" s="3"/>
      <c r="AA74" s="3"/>
      <c r="AB74" s="3"/>
      <c r="AC74" s="3"/>
      <c r="AD74" s="3"/>
    </row>
    <row r="75" spans="1:30" x14ac:dyDescent="0.25">
      <c r="A75" s="1"/>
      <c r="B75" s="144" t="s">
        <v>103</v>
      </c>
      <c r="C75" s="145"/>
      <c r="D75" s="585"/>
      <c r="E75" s="585"/>
      <c r="F75" s="585"/>
      <c r="G75" s="585"/>
      <c r="H75" s="585"/>
      <c r="I75" s="585"/>
      <c r="J75" s="585"/>
      <c r="K75" s="585"/>
      <c r="L75" s="585"/>
      <c r="M75" s="585"/>
      <c r="N75" s="585"/>
      <c r="O75" s="585"/>
      <c r="P75" s="585"/>
      <c r="Q75" s="585"/>
      <c r="R75" s="585"/>
      <c r="S75" s="585"/>
      <c r="T75" s="585"/>
      <c r="U75" s="585"/>
      <c r="V75" s="146"/>
      <c r="W75" s="146"/>
      <c r="X75" s="146"/>
      <c r="Y75" s="146"/>
      <c r="Z75" s="146"/>
      <c r="AA75" s="146"/>
      <c r="AB75" s="147"/>
      <c r="AC75" s="3"/>
      <c r="AD75" s="3"/>
    </row>
    <row r="76" spans="1:30" x14ac:dyDescent="0.25">
      <c r="A76" s="1"/>
      <c r="B76" s="148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49"/>
      <c r="AC76" s="3"/>
      <c r="AD76" s="3"/>
    </row>
    <row r="77" spans="1:30" x14ac:dyDescent="0.25">
      <c r="A77" s="1"/>
      <c r="B77" s="575"/>
      <c r="C77" s="576"/>
      <c r="D77" s="576"/>
      <c r="E77" s="576"/>
      <c r="F77" s="576"/>
      <c r="G77" s="576"/>
      <c r="H77" s="576"/>
      <c r="I77" s="576"/>
      <c r="J77" s="576"/>
      <c r="K77" s="576"/>
      <c r="L77" s="576"/>
      <c r="M77" s="576"/>
      <c r="N77" s="576"/>
      <c r="O77" s="576"/>
      <c r="P77" s="576"/>
      <c r="Q77" s="576"/>
      <c r="R77" s="576"/>
      <c r="S77" s="576"/>
      <c r="T77" s="576"/>
      <c r="U77" s="576"/>
      <c r="V77" s="121"/>
      <c r="W77" s="121"/>
      <c r="X77" s="121"/>
      <c r="Y77" s="121"/>
      <c r="Z77" s="121"/>
      <c r="AA77" s="121"/>
      <c r="AB77" s="149"/>
      <c r="AC77" s="3"/>
      <c r="AD77" s="3"/>
    </row>
    <row r="78" spans="1:30" x14ac:dyDescent="0.25">
      <c r="A78" s="1"/>
      <c r="B78" s="575"/>
      <c r="C78" s="576"/>
      <c r="D78" s="576"/>
      <c r="E78" s="576"/>
      <c r="F78" s="576"/>
      <c r="G78" s="576"/>
      <c r="H78" s="576"/>
      <c r="I78" s="576"/>
      <c r="J78" s="576"/>
      <c r="K78" s="576"/>
      <c r="L78" s="576"/>
      <c r="M78" s="576"/>
      <c r="N78" s="576"/>
      <c r="O78" s="576"/>
      <c r="P78" s="576"/>
      <c r="Q78" s="576"/>
      <c r="R78" s="576"/>
      <c r="S78" s="576"/>
      <c r="T78" s="576"/>
      <c r="U78" s="576"/>
      <c r="V78" s="121"/>
      <c r="W78" s="121"/>
      <c r="X78" s="121"/>
      <c r="Y78" s="121"/>
      <c r="Z78" s="121"/>
      <c r="AA78" s="121"/>
      <c r="AB78" s="149"/>
      <c r="AC78" s="3"/>
      <c r="AD78" s="3"/>
    </row>
    <row r="79" spans="1:30" x14ac:dyDescent="0.25">
      <c r="A79" s="1"/>
      <c r="B79" s="575"/>
      <c r="C79" s="576"/>
      <c r="D79" s="576"/>
      <c r="E79" s="576"/>
      <c r="F79" s="576"/>
      <c r="G79" s="576"/>
      <c r="H79" s="576"/>
      <c r="I79" s="576"/>
      <c r="J79" s="576"/>
      <c r="K79" s="576"/>
      <c r="L79" s="576"/>
      <c r="M79" s="576"/>
      <c r="N79" s="576"/>
      <c r="O79" s="576"/>
      <c r="P79" s="576"/>
      <c r="Q79" s="576"/>
      <c r="R79" s="576"/>
      <c r="S79" s="576"/>
      <c r="T79" s="576"/>
      <c r="U79" s="576"/>
      <c r="V79" s="121"/>
      <c r="W79" s="121"/>
      <c r="X79" s="121"/>
      <c r="Y79" s="121"/>
      <c r="Z79" s="121"/>
      <c r="AA79" s="121"/>
      <c r="AB79" s="149"/>
      <c r="AC79" s="3"/>
      <c r="AD79" s="3"/>
    </row>
    <row r="80" spans="1:30" x14ac:dyDescent="0.25">
      <c r="A80" s="1"/>
      <c r="B80" s="150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21"/>
      <c r="W80" s="121"/>
      <c r="X80" s="121"/>
      <c r="Y80" s="121"/>
      <c r="Z80" s="121"/>
      <c r="AA80" s="121"/>
      <c r="AB80" s="149"/>
      <c r="AC80" s="3"/>
      <c r="AD80" s="3"/>
    </row>
    <row r="81" spans="1:30" x14ac:dyDescent="0.25">
      <c r="A81" s="1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21"/>
      <c r="W81" s="121"/>
      <c r="X81" s="121"/>
      <c r="Y81" s="121"/>
      <c r="Z81" s="121"/>
      <c r="AA81" s="121"/>
      <c r="AB81" s="149"/>
      <c r="AC81" s="3"/>
      <c r="AD81" s="3"/>
    </row>
    <row r="82" spans="1:30" x14ac:dyDescent="0.25">
      <c r="A82" s="1"/>
      <c r="B82" s="150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21"/>
      <c r="W82" s="121"/>
      <c r="X82" s="121"/>
      <c r="Y82" s="121"/>
      <c r="Z82" s="121"/>
      <c r="AA82" s="121"/>
      <c r="AB82" s="149"/>
      <c r="AC82" s="3"/>
      <c r="AD82" s="3"/>
    </row>
    <row r="83" spans="1:30" x14ac:dyDescent="0.25">
      <c r="A83" s="1"/>
      <c r="B83" s="150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21"/>
      <c r="W83" s="121"/>
      <c r="X83" s="121"/>
      <c r="Y83" s="121"/>
      <c r="Z83" s="121"/>
      <c r="AA83" s="121"/>
      <c r="AB83" s="149"/>
      <c r="AC83" s="3"/>
      <c r="AD83" s="3"/>
    </row>
    <row r="84" spans="1:30" x14ac:dyDescent="0.25">
      <c r="A84" s="1"/>
      <c r="B84" s="150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21"/>
      <c r="W84" s="121"/>
      <c r="X84" s="121"/>
      <c r="Y84" s="121"/>
      <c r="Z84" s="121"/>
      <c r="AA84" s="121"/>
      <c r="AB84" s="149"/>
      <c r="AC84" s="3"/>
      <c r="AD84" s="3"/>
    </row>
    <row r="85" spans="1:30" x14ac:dyDescent="0.25">
      <c r="A85" s="1"/>
      <c r="B85" s="150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21"/>
      <c r="W85" s="121"/>
      <c r="X85" s="121"/>
      <c r="Y85" s="121"/>
      <c r="Z85" s="121"/>
      <c r="AA85" s="121"/>
      <c r="AB85" s="149"/>
      <c r="AC85" s="3"/>
      <c r="AD85" s="3"/>
    </row>
    <row r="86" spans="1:30" x14ac:dyDescent="0.25">
      <c r="A86" s="1"/>
      <c r="B86" s="150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21"/>
      <c r="W86" s="121"/>
      <c r="X86" s="121"/>
      <c r="Y86" s="121"/>
      <c r="Z86" s="121"/>
      <c r="AA86" s="121"/>
      <c r="AB86" s="149"/>
      <c r="AC86" s="3"/>
      <c r="AD86" s="3"/>
    </row>
    <row r="87" spans="1:30" x14ac:dyDescent="0.25">
      <c r="A87" s="1"/>
      <c r="B87" s="150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21"/>
      <c r="W87" s="121"/>
      <c r="X87" s="121"/>
      <c r="Y87" s="121"/>
      <c r="Z87" s="121"/>
      <c r="AA87" s="121"/>
      <c r="AB87" s="149"/>
      <c r="AC87" s="3"/>
      <c r="AD87" s="3"/>
    </row>
    <row r="88" spans="1:30" x14ac:dyDescent="0.25">
      <c r="A88" s="1"/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21"/>
      <c r="W88" s="121"/>
      <c r="X88" s="121"/>
      <c r="Y88" s="121"/>
      <c r="Z88" s="121"/>
      <c r="AA88" s="121"/>
      <c r="AB88" s="149"/>
      <c r="AC88" s="3"/>
      <c r="AD88" s="3"/>
    </row>
    <row r="89" spans="1:30" x14ac:dyDescent="0.25">
      <c r="A89" s="1"/>
      <c r="B89" s="150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21"/>
      <c r="W89" s="121"/>
      <c r="X89" s="121"/>
      <c r="Y89" s="121"/>
      <c r="Z89" s="121"/>
      <c r="AA89" s="121"/>
      <c r="AB89" s="149"/>
      <c r="AC89" s="3"/>
      <c r="AD89" s="3"/>
    </row>
    <row r="90" spans="1:30" x14ac:dyDescent="0.25">
      <c r="A90" s="1"/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21"/>
      <c r="W90" s="121"/>
      <c r="X90" s="121"/>
      <c r="Y90" s="121"/>
      <c r="Z90" s="121"/>
      <c r="AA90" s="121"/>
      <c r="AB90" s="149"/>
      <c r="AC90" s="3"/>
      <c r="AD90" s="3"/>
    </row>
    <row r="91" spans="1:30" x14ac:dyDescent="0.25">
      <c r="A91" s="1"/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21"/>
      <c r="W91" s="121"/>
      <c r="X91" s="121"/>
      <c r="Y91" s="121"/>
      <c r="Z91" s="121"/>
      <c r="AA91" s="121"/>
      <c r="AB91" s="149"/>
      <c r="AC91" s="3"/>
      <c r="AD91" s="3"/>
    </row>
    <row r="92" spans="1:30" x14ac:dyDescent="0.25">
      <c r="A92" s="1"/>
      <c r="B92" s="158"/>
      <c r="C92" s="159"/>
      <c r="D92" s="160"/>
      <c r="E92" s="160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2"/>
      <c r="W92" s="162"/>
      <c r="X92" s="162"/>
      <c r="Y92" s="162"/>
      <c r="Z92" s="162"/>
      <c r="AA92" s="162"/>
      <c r="AB92" s="163"/>
      <c r="AC92" s="3"/>
      <c r="AD92" s="3"/>
    </row>
    <row r="93" spans="1:30" x14ac:dyDescent="0.25">
      <c r="A93" s="115"/>
      <c r="B93" s="164"/>
      <c r="C93" s="165"/>
      <c r="D93" s="164"/>
      <c r="E93" s="164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15"/>
      <c r="B94" s="164"/>
      <c r="C94" s="165"/>
      <c r="D94" s="164"/>
      <c r="E94" s="164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167" t="s">
        <v>104</v>
      </c>
      <c r="C96" s="168">
        <v>45918</v>
      </c>
      <c r="D96" s="167" t="s">
        <v>105</v>
      </c>
      <c r="E96" s="576" t="s">
        <v>294</v>
      </c>
      <c r="F96" s="576"/>
      <c r="G96" s="576"/>
      <c r="H96" s="167"/>
      <c r="I96" s="167" t="s">
        <v>107</v>
      </c>
      <c r="J96" s="577" t="s">
        <v>295</v>
      </c>
      <c r="K96" s="577"/>
      <c r="L96" s="577"/>
      <c r="M96" s="577"/>
      <c r="N96" s="167"/>
      <c r="O96" s="167"/>
      <c r="P96" s="167"/>
      <c r="Q96" s="167"/>
      <c r="R96" s="167"/>
      <c r="S96" s="167"/>
      <c r="T96" s="167"/>
      <c r="U96" s="167"/>
      <c r="V96" s="3"/>
      <c r="W96" s="3"/>
      <c r="X96" s="3"/>
      <c r="Y96" s="3"/>
      <c r="Z96" s="3"/>
      <c r="AA96" s="3"/>
      <c r="AB96" s="3"/>
      <c r="AC96" s="3"/>
      <c r="AD96" s="3"/>
    </row>
    <row r="97" spans="1:30" ht="7.5" customHeight="1" x14ac:dyDescent="0.25">
      <c r="A97" s="1"/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1"/>
      <c r="B98" s="167"/>
      <c r="C98" s="167"/>
      <c r="D98" s="167" t="s">
        <v>109</v>
      </c>
      <c r="E98" s="169"/>
      <c r="F98" s="169"/>
      <c r="G98" s="169"/>
      <c r="H98" s="167"/>
      <c r="I98" s="167" t="s">
        <v>109</v>
      </c>
      <c r="J98" s="170"/>
      <c r="K98" s="170"/>
      <c r="L98" s="170"/>
      <c r="M98" s="170"/>
      <c r="N98" s="167"/>
      <c r="O98" s="167"/>
      <c r="P98" s="167"/>
      <c r="Q98" s="167"/>
      <c r="R98" s="167"/>
      <c r="S98" s="167"/>
      <c r="T98" s="167"/>
      <c r="U98" s="167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1"/>
      <c r="B99" s="167"/>
      <c r="C99" s="167"/>
      <c r="D99" s="167"/>
      <c r="E99" s="169"/>
      <c r="F99" s="169"/>
      <c r="G99" s="169"/>
      <c r="H99" s="167"/>
      <c r="I99" s="167"/>
      <c r="J99" s="170"/>
      <c r="K99" s="170"/>
      <c r="L99" s="170"/>
      <c r="M99" s="170"/>
      <c r="N99" s="167"/>
      <c r="O99" s="167"/>
      <c r="P99" s="167"/>
      <c r="Q99" s="167"/>
      <c r="R99" s="167"/>
      <c r="S99" s="167"/>
      <c r="T99" s="167"/>
      <c r="U99" s="167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1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1"/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idden="1" x14ac:dyDescent="0.25">
      <c r="AC102" s="4"/>
      <c r="AD102" s="4"/>
    </row>
    <row r="103" spans="1:30" hidden="1" x14ac:dyDescent="0.25"/>
    <row r="104" spans="1:30" hidden="1" x14ac:dyDescent="0.25"/>
    <row r="105" spans="1:30" hidden="1" x14ac:dyDescent="0.25"/>
    <row r="106" spans="1:30" hidden="1" x14ac:dyDescent="0.25"/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t="15" hidden="1" customHeight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t="15" hidden="1" customHeight="1" x14ac:dyDescent="0.25"/>
    <row r="133" ht="15" hidden="1" customHeight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</sheetData>
  <mergeCells count="79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6:AB28"/>
    <mergeCell ref="J27:L27"/>
    <mergeCell ref="M27:M28"/>
    <mergeCell ref="N27:N28"/>
    <mergeCell ref="O27:O28"/>
    <mergeCell ref="AA13:AA14"/>
    <mergeCell ref="D26:I26"/>
    <mergeCell ref="J26:O26"/>
    <mergeCell ref="P26:U26"/>
    <mergeCell ref="V26:AA26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27:B28"/>
    <mergeCell ref="C27:C28"/>
    <mergeCell ref="D27:F27"/>
    <mergeCell ref="G27:G28"/>
    <mergeCell ref="H27:H28"/>
    <mergeCell ref="U65:X65"/>
    <mergeCell ref="Z27:Z28"/>
    <mergeCell ref="AA27:AA28"/>
    <mergeCell ref="C44:C45"/>
    <mergeCell ref="C47:C48"/>
    <mergeCell ref="V57:X57"/>
    <mergeCell ref="V58:X58"/>
    <mergeCell ref="P27:R27"/>
    <mergeCell ref="S27:S28"/>
    <mergeCell ref="T27:T28"/>
    <mergeCell ref="U27:U28"/>
    <mergeCell ref="V27:X27"/>
    <mergeCell ref="Y27:Y28"/>
    <mergeCell ref="I27:I28"/>
    <mergeCell ref="V59:X59"/>
    <mergeCell ref="D61:E61"/>
    <mergeCell ref="V61:X61"/>
    <mergeCell ref="U63:X63"/>
    <mergeCell ref="U64:X64"/>
    <mergeCell ref="E96:G96"/>
    <mergeCell ref="J96:M96"/>
    <mergeCell ref="U66:X66"/>
    <mergeCell ref="U67:X67"/>
    <mergeCell ref="U68:X68"/>
    <mergeCell ref="U69:X69"/>
    <mergeCell ref="U70:X70"/>
    <mergeCell ref="U71:X71"/>
    <mergeCell ref="U72:X72"/>
    <mergeCell ref="D75:U75"/>
    <mergeCell ref="B77:U77"/>
    <mergeCell ref="B78:U78"/>
    <mergeCell ref="B79:U79"/>
  </mergeCells>
  <conditionalFormatting sqref="AB15:AB26 AB29:AB42">
    <cfRule type="cellIs" dxfId="9" priority="1" operator="equal">
      <formula>0</formula>
    </cfRule>
    <cfRule type="containsErrors" dxfId="8" priority="2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FF0000"/>
    <pageSetUpPr fitToPage="1"/>
  </sheetPr>
  <dimension ref="A1:AD294"/>
  <sheetViews>
    <sheetView showGridLines="0" zoomScale="80" zoomScaleNormal="80" zoomScaleSheetLayoutView="80" workbookViewId="0">
      <selection activeCell="V18" sqref="V1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7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3.2851562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296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24" t="s">
        <v>297</v>
      </c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328">
        <v>46789685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7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5</v>
      </c>
      <c r="C8" s="1"/>
      <c r="D8" s="717" t="s">
        <v>298</v>
      </c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5"/>
      <c r="U8" s="625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626" t="s">
        <v>7</v>
      </c>
      <c r="C10" s="592" t="s">
        <v>8</v>
      </c>
      <c r="D10" s="631" t="s">
        <v>9</v>
      </c>
      <c r="E10" s="632"/>
      <c r="F10" s="632"/>
      <c r="G10" s="632"/>
      <c r="H10" s="632"/>
      <c r="I10" s="633"/>
      <c r="J10" s="631" t="s">
        <v>166</v>
      </c>
      <c r="K10" s="632"/>
      <c r="L10" s="632"/>
      <c r="M10" s="632"/>
      <c r="N10" s="632"/>
      <c r="O10" s="633"/>
      <c r="P10" s="631" t="s">
        <v>11</v>
      </c>
      <c r="Q10" s="632"/>
      <c r="R10" s="632"/>
      <c r="S10" s="632"/>
      <c r="T10" s="632"/>
      <c r="U10" s="633"/>
      <c r="V10" s="631" t="s">
        <v>12</v>
      </c>
      <c r="W10" s="632"/>
      <c r="X10" s="632"/>
      <c r="Y10" s="632"/>
      <c r="Z10" s="632"/>
      <c r="AA10" s="633"/>
      <c r="AB10" s="615" t="s">
        <v>13</v>
      </c>
      <c r="AC10" s="3"/>
      <c r="AD10" s="3"/>
    </row>
    <row r="11" spans="1:30" ht="30.75" customHeight="1" thickBot="1" x14ac:dyDescent="0.3">
      <c r="A11" s="1"/>
      <c r="B11" s="627"/>
      <c r="C11" s="593"/>
      <c r="D11" s="618" t="s">
        <v>14</v>
      </c>
      <c r="E11" s="619"/>
      <c r="F11" s="619"/>
      <c r="G11" s="620"/>
      <c r="H11" s="8" t="s">
        <v>15</v>
      </c>
      <c r="I11" s="8" t="s">
        <v>16</v>
      </c>
      <c r="J11" s="618" t="s">
        <v>14</v>
      </c>
      <c r="K11" s="619"/>
      <c r="L11" s="619"/>
      <c r="M11" s="620"/>
      <c r="N11" s="8" t="s">
        <v>15</v>
      </c>
      <c r="O11" s="8" t="s">
        <v>16</v>
      </c>
      <c r="P11" s="618" t="s">
        <v>14</v>
      </c>
      <c r="Q11" s="619"/>
      <c r="R11" s="619"/>
      <c r="S11" s="620"/>
      <c r="T11" s="8" t="s">
        <v>15</v>
      </c>
      <c r="U11" s="8" t="s">
        <v>16</v>
      </c>
      <c r="V11" s="618" t="s">
        <v>14</v>
      </c>
      <c r="W11" s="619"/>
      <c r="X11" s="619"/>
      <c r="Y11" s="620"/>
      <c r="Z11" s="8" t="s">
        <v>15</v>
      </c>
      <c r="AA11" s="8" t="s">
        <v>16</v>
      </c>
      <c r="AB11" s="616"/>
      <c r="AC11" s="3"/>
      <c r="AD11" s="3"/>
    </row>
    <row r="12" spans="1:30" ht="15.75" customHeight="1" thickBot="1" x14ac:dyDescent="0.3">
      <c r="A12" s="1"/>
      <c r="B12" s="627"/>
      <c r="C12" s="629"/>
      <c r="D12" s="621" t="s">
        <v>17</v>
      </c>
      <c r="E12" s="622"/>
      <c r="F12" s="622"/>
      <c r="G12" s="622"/>
      <c r="H12" s="622"/>
      <c r="I12" s="623"/>
      <c r="J12" s="621" t="s">
        <v>17</v>
      </c>
      <c r="K12" s="622"/>
      <c r="L12" s="622"/>
      <c r="M12" s="622"/>
      <c r="N12" s="622"/>
      <c r="O12" s="623"/>
      <c r="P12" s="621" t="s">
        <v>17</v>
      </c>
      <c r="Q12" s="622"/>
      <c r="R12" s="622"/>
      <c r="S12" s="622"/>
      <c r="T12" s="622"/>
      <c r="U12" s="623"/>
      <c r="V12" s="621" t="s">
        <v>17</v>
      </c>
      <c r="W12" s="622"/>
      <c r="X12" s="622"/>
      <c r="Y12" s="622"/>
      <c r="Z12" s="622"/>
      <c r="AA12" s="623"/>
      <c r="AB12" s="616"/>
      <c r="AC12" s="3"/>
      <c r="AD12" s="3"/>
    </row>
    <row r="13" spans="1:30" ht="15.75" customHeight="1" thickBot="1" x14ac:dyDescent="0.3">
      <c r="A13" s="1"/>
      <c r="B13" s="628"/>
      <c r="C13" s="630"/>
      <c r="D13" s="613" t="s">
        <v>18</v>
      </c>
      <c r="E13" s="614"/>
      <c r="F13" s="614"/>
      <c r="G13" s="609" t="s">
        <v>19</v>
      </c>
      <c r="H13" s="611" t="s">
        <v>20</v>
      </c>
      <c r="I13" s="594" t="s">
        <v>17</v>
      </c>
      <c r="J13" s="613" t="s">
        <v>18</v>
      </c>
      <c r="K13" s="614"/>
      <c r="L13" s="614"/>
      <c r="M13" s="609" t="s">
        <v>19</v>
      </c>
      <c r="N13" s="611" t="s">
        <v>20</v>
      </c>
      <c r="O13" s="594" t="s">
        <v>17</v>
      </c>
      <c r="P13" s="613" t="s">
        <v>18</v>
      </c>
      <c r="Q13" s="614"/>
      <c r="R13" s="614"/>
      <c r="S13" s="609" t="s">
        <v>19</v>
      </c>
      <c r="T13" s="611" t="s">
        <v>20</v>
      </c>
      <c r="U13" s="594" t="s">
        <v>17</v>
      </c>
      <c r="V13" s="613" t="s">
        <v>18</v>
      </c>
      <c r="W13" s="614"/>
      <c r="X13" s="614"/>
      <c r="Y13" s="609" t="s">
        <v>19</v>
      </c>
      <c r="Z13" s="611" t="s">
        <v>20</v>
      </c>
      <c r="AA13" s="594" t="s">
        <v>17</v>
      </c>
      <c r="AB13" s="616"/>
      <c r="AC13" s="3"/>
      <c r="AD13" s="3"/>
    </row>
    <row r="14" spans="1:30" ht="15.75" thickBot="1" x14ac:dyDescent="0.3">
      <c r="A14" s="1"/>
      <c r="B14" s="9"/>
      <c r="C14" s="10"/>
      <c r="D14" s="11" t="s">
        <v>21</v>
      </c>
      <c r="E14" s="12" t="s">
        <v>22</v>
      </c>
      <c r="F14" s="12" t="s">
        <v>23</v>
      </c>
      <c r="G14" s="610"/>
      <c r="H14" s="612"/>
      <c r="I14" s="595"/>
      <c r="J14" s="11" t="s">
        <v>21</v>
      </c>
      <c r="K14" s="12" t="s">
        <v>22</v>
      </c>
      <c r="L14" s="12" t="s">
        <v>23</v>
      </c>
      <c r="M14" s="610"/>
      <c r="N14" s="612"/>
      <c r="O14" s="595"/>
      <c r="P14" s="11" t="s">
        <v>21</v>
      </c>
      <c r="Q14" s="12" t="s">
        <v>22</v>
      </c>
      <c r="R14" s="12" t="s">
        <v>23</v>
      </c>
      <c r="S14" s="610"/>
      <c r="T14" s="612"/>
      <c r="U14" s="595"/>
      <c r="V14" s="11" t="s">
        <v>21</v>
      </c>
      <c r="W14" s="12" t="s">
        <v>22</v>
      </c>
      <c r="X14" s="12" t="s">
        <v>23</v>
      </c>
      <c r="Y14" s="610"/>
      <c r="Z14" s="612"/>
      <c r="AA14" s="595"/>
      <c r="AB14" s="617"/>
      <c r="AC14" s="3"/>
      <c r="AD14" s="3"/>
    </row>
    <row r="15" spans="1:30" x14ac:dyDescent="0.25">
      <c r="A15" s="1"/>
      <c r="B15" s="13" t="s">
        <v>24</v>
      </c>
      <c r="C15" s="14" t="s">
        <v>25</v>
      </c>
      <c r="D15" s="15"/>
      <c r="E15" s="16"/>
      <c r="F15" s="17">
        <v>2543.1999999999998</v>
      </c>
      <c r="G15" s="18">
        <f>SUM(D15:F15)</f>
        <v>2543.1999999999998</v>
      </c>
      <c r="H15" s="19"/>
      <c r="I15" s="20">
        <f>G15+H15</f>
        <v>2543.1999999999998</v>
      </c>
      <c r="J15" s="329"/>
      <c r="K15" s="330"/>
      <c r="L15" s="415">
        <v>2600</v>
      </c>
      <c r="M15" s="331">
        <f t="shared" ref="M15:M24" si="0">SUM(J15:L15)</f>
        <v>2600</v>
      </c>
      <c r="N15" s="332"/>
      <c r="O15" s="333">
        <f>M15+N15</f>
        <v>2600</v>
      </c>
      <c r="P15" s="15"/>
      <c r="Q15" s="16"/>
      <c r="R15" s="334">
        <v>1436.8</v>
      </c>
      <c r="S15" s="18">
        <f>SUM(P15:R15)</f>
        <v>1436.8</v>
      </c>
      <c r="T15" s="19"/>
      <c r="U15" s="20">
        <f>S15+T15</f>
        <v>1436.8</v>
      </c>
      <c r="V15" s="15"/>
      <c r="W15" s="16"/>
      <c r="X15" s="17">
        <v>2600</v>
      </c>
      <c r="Y15" s="18">
        <f>SUM(V15:X15)</f>
        <v>2600</v>
      </c>
      <c r="Z15" s="19"/>
      <c r="AA15" s="20">
        <f>Y15+Z15</f>
        <v>2600</v>
      </c>
      <c r="AB15" s="21">
        <f>(AA15/O15)</f>
        <v>1</v>
      </c>
      <c r="AC15" s="3"/>
      <c r="AD15" s="3"/>
    </row>
    <row r="16" spans="1:30" x14ac:dyDescent="0.25">
      <c r="A16" s="1"/>
      <c r="B16" s="22" t="s">
        <v>26</v>
      </c>
      <c r="C16" s="23" t="s">
        <v>123</v>
      </c>
      <c r="D16" s="24">
        <v>6105.6</v>
      </c>
      <c r="E16" s="25"/>
      <c r="F16" s="25"/>
      <c r="G16" s="26">
        <f t="shared" ref="G16:G24" si="1">SUM(D16:F16)</f>
        <v>6105.6</v>
      </c>
      <c r="H16" s="27"/>
      <c r="I16" s="20">
        <f t="shared" ref="I16:I24" si="2">G16+H16</f>
        <v>6105.6</v>
      </c>
      <c r="J16" s="416">
        <v>7087.5</v>
      </c>
      <c r="K16" s="335"/>
      <c r="L16" s="335"/>
      <c r="M16" s="336">
        <f t="shared" si="0"/>
        <v>7087.5</v>
      </c>
      <c r="N16" s="337"/>
      <c r="O16" s="333">
        <f t="shared" ref="O16:O21" si="3">M16+N16</f>
        <v>7087.5</v>
      </c>
      <c r="P16" s="24">
        <v>3500.2</v>
      </c>
      <c r="Q16" s="338"/>
      <c r="R16" s="25"/>
      <c r="S16" s="26">
        <f t="shared" ref="S16:S24" si="4">SUM(P16:R16)</f>
        <v>3500.2</v>
      </c>
      <c r="T16" s="27"/>
      <c r="U16" s="20">
        <f t="shared" ref="U16:U21" si="5">S16+T16</f>
        <v>3500.2</v>
      </c>
      <c r="V16" s="24">
        <v>6644.1</v>
      </c>
      <c r="W16" s="25"/>
      <c r="X16" s="25"/>
      <c r="Y16" s="26">
        <f t="shared" ref="Y16:Y24" si="6">SUM(V16:X16)</f>
        <v>6644.1</v>
      </c>
      <c r="Z16" s="27"/>
      <c r="AA16" s="20">
        <f t="shared" ref="AA16:AA21" si="7">Y16+Z16</f>
        <v>6644.1</v>
      </c>
      <c r="AB16" s="21">
        <f t="shared" ref="AB16:AB25" si="8">(AA16/O16)</f>
        <v>0.93743915343915352</v>
      </c>
      <c r="AC16" s="3"/>
      <c r="AD16" s="3"/>
    </row>
    <row r="17" spans="1:30" x14ac:dyDescent="0.25">
      <c r="A17" s="1"/>
      <c r="B17" s="22" t="s">
        <v>28</v>
      </c>
      <c r="C17" s="28" t="s">
        <v>124</v>
      </c>
      <c r="D17" s="29">
        <v>335.5</v>
      </c>
      <c r="E17" s="30"/>
      <c r="F17" s="30"/>
      <c r="G17" s="26">
        <f t="shared" si="1"/>
        <v>335.5</v>
      </c>
      <c r="H17" s="31"/>
      <c r="I17" s="20">
        <f t="shared" si="2"/>
        <v>335.5</v>
      </c>
      <c r="J17" s="342">
        <v>288.7</v>
      </c>
      <c r="K17" s="339"/>
      <c r="L17" s="339"/>
      <c r="M17" s="336">
        <f t="shared" si="0"/>
        <v>288.7</v>
      </c>
      <c r="N17" s="340"/>
      <c r="O17" s="333">
        <f t="shared" si="3"/>
        <v>288.7</v>
      </c>
      <c r="P17" s="29">
        <v>288.7</v>
      </c>
      <c r="Q17" s="30"/>
      <c r="R17" s="30"/>
      <c r="S17" s="26">
        <f t="shared" si="4"/>
        <v>288.7</v>
      </c>
      <c r="T17" s="31"/>
      <c r="U17" s="20">
        <f t="shared" si="5"/>
        <v>288.7</v>
      </c>
      <c r="V17" s="29">
        <v>0</v>
      </c>
      <c r="W17" s="30"/>
      <c r="X17" s="30"/>
      <c r="Y17" s="26">
        <f t="shared" si="6"/>
        <v>0</v>
      </c>
      <c r="Z17" s="31"/>
      <c r="AA17" s="20">
        <f t="shared" si="7"/>
        <v>0</v>
      </c>
      <c r="AB17" s="21">
        <f t="shared" si="8"/>
        <v>0</v>
      </c>
      <c r="AC17" s="3"/>
      <c r="AD17" s="3"/>
    </row>
    <row r="18" spans="1:30" x14ac:dyDescent="0.25">
      <c r="A18" s="1"/>
      <c r="B18" s="22" t="s">
        <v>125</v>
      </c>
      <c r="C18" s="341" t="s">
        <v>126</v>
      </c>
      <c r="D18" s="29"/>
      <c r="E18" s="30"/>
      <c r="F18" s="30"/>
      <c r="G18" s="26">
        <f t="shared" si="1"/>
        <v>0</v>
      </c>
      <c r="H18" s="27"/>
      <c r="I18" s="20">
        <f t="shared" si="2"/>
        <v>0</v>
      </c>
      <c r="J18" s="342">
        <v>0</v>
      </c>
      <c r="K18" s="339"/>
      <c r="L18" s="339"/>
      <c r="M18" s="336">
        <f t="shared" si="0"/>
        <v>0</v>
      </c>
      <c r="N18" s="337"/>
      <c r="O18" s="333">
        <f t="shared" si="3"/>
        <v>0</v>
      </c>
      <c r="P18" s="29">
        <v>0</v>
      </c>
      <c r="Q18" s="30"/>
      <c r="R18" s="30"/>
      <c r="S18" s="26">
        <f t="shared" si="4"/>
        <v>0</v>
      </c>
      <c r="T18" s="27"/>
      <c r="U18" s="20">
        <f t="shared" si="5"/>
        <v>0</v>
      </c>
      <c r="V18" s="29">
        <v>9409.7999999999993</v>
      </c>
      <c r="W18" s="30"/>
      <c r="X18" s="30"/>
      <c r="Y18" s="26">
        <f t="shared" si="6"/>
        <v>9409.7999999999993</v>
      </c>
      <c r="Z18" s="27"/>
      <c r="AA18" s="20">
        <f t="shared" si="7"/>
        <v>9409.7999999999993</v>
      </c>
      <c r="AB18" s="21"/>
      <c r="AC18" s="3"/>
      <c r="AD18" s="3"/>
    </row>
    <row r="19" spans="1:30" x14ac:dyDescent="0.25">
      <c r="A19" s="1"/>
      <c r="B19" s="22" t="s">
        <v>30</v>
      </c>
      <c r="C19" s="32" t="s">
        <v>31</v>
      </c>
      <c r="D19" s="33"/>
      <c r="E19" s="34">
        <v>57990</v>
      </c>
      <c r="F19" s="30"/>
      <c r="G19" s="26">
        <f t="shared" si="1"/>
        <v>57990</v>
      </c>
      <c r="H19" s="19"/>
      <c r="I19" s="20">
        <f t="shared" si="2"/>
        <v>57990</v>
      </c>
      <c r="J19" s="343"/>
      <c r="K19" s="417">
        <v>55000</v>
      </c>
      <c r="L19" s="339"/>
      <c r="M19" s="336">
        <f t="shared" si="0"/>
        <v>55000</v>
      </c>
      <c r="N19" s="332"/>
      <c r="O19" s="333">
        <f t="shared" si="3"/>
        <v>55000</v>
      </c>
      <c r="P19" s="33"/>
      <c r="Q19" s="34">
        <v>29250.7</v>
      </c>
      <c r="R19" s="30"/>
      <c r="S19" s="26">
        <f t="shared" si="4"/>
        <v>29250.7</v>
      </c>
      <c r="T19" s="19"/>
      <c r="U19" s="20">
        <f t="shared" si="5"/>
        <v>29250.7</v>
      </c>
      <c r="V19" s="33"/>
      <c r="W19" s="34">
        <v>52324.4</v>
      </c>
      <c r="X19" s="30"/>
      <c r="Y19" s="26">
        <f t="shared" si="6"/>
        <v>52324.4</v>
      </c>
      <c r="Z19" s="19"/>
      <c r="AA19" s="20">
        <f t="shared" si="7"/>
        <v>52324.4</v>
      </c>
      <c r="AB19" s="21">
        <f t="shared" si="8"/>
        <v>0.95135272727272735</v>
      </c>
      <c r="AC19" s="3"/>
      <c r="AD19" s="3"/>
    </row>
    <row r="20" spans="1:30" x14ac:dyDescent="0.25">
      <c r="A20" s="1"/>
      <c r="B20" s="22" t="s">
        <v>32</v>
      </c>
      <c r="C20" s="35" t="s">
        <v>33</v>
      </c>
      <c r="D20" s="36"/>
      <c r="E20" s="30"/>
      <c r="F20" s="37">
        <v>965.2</v>
      </c>
      <c r="G20" s="26">
        <f t="shared" si="1"/>
        <v>965.2</v>
      </c>
      <c r="H20" s="38"/>
      <c r="I20" s="20">
        <f t="shared" si="2"/>
        <v>965.2</v>
      </c>
      <c r="J20" s="344"/>
      <c r="K20" s="339"/>
      <c r="L20" s="397">
        <v>957</v>
      </c>
      <c r="M20" s="336">
        <f t="shared" si="0"/>
        <v>957</v>
      </c>
      <c r="N20" s="345"/>
      <c r="O20" s="333">
        <f t="shared" si="3"/>
        <v>957</v>
      </c>
      <c r="P20" s="36"/>
      <c r="Q20" s="30"/>
      <c r="R20" s="37">
        <v>270.7</v>
      </c>
      <c r="S20" s="26">
        <f t="shared" si="4"/>
        <v>270.7</v>
      </c>
      <c r="T20" s="38"/>
      <c r="U20" s="20">
        <f t="shared" si="5"/>
        <v>270.7</v>
      </c>
      <c r="V20" s="36"/>
      <c r="W20" s="30"/>
      <c r="X20" s="37">
        <v>950</v>
      </c>
      <c r="Y20" s="26">
        <f t="shared" si="6"/>
        <v>950</v>
      </c>
      <c r="Z20" s="38"/>
      <c r="AA20" s="20">
        <f t="shared" si="7"/>
        <v>950</v>
      </c>
      <c r="AB20" s="21">
        <f t="shared" si="8"/>
        <v>0.99268547544409613</v>
      </c>
      <c r="AC20" s="3"/>
      <c r="AD20" s="3"/>
    </row>
    <row r="21" spans="1:30" x14ac:dyDescent="0.25">
      <c r="A21" s="1"/>
      <c r="B21" s="22" t="s">
        <v>34</v>
      </c>
      <c r="C21" s="39" t="s">
        <v>35</v>
      </c>
      <c r="D21" s="33"/>
      <c r="E21" s="25"/>
      <c r="F21" s="40"/>
      <c r="G21" s="26">
        <f t="shared" si="1"/>
        <v>0</v>
      </c>
      <c r="H21" s="38"/>
      <c r="I21" s="20">
        <f t="shared" si="2"/>
        <v>0</v>
      </c>
      <c r="J21" s="343"/>
      <c r="K21" s="335"/>
      <c r="L21" s="418"/>
      <c r="M21" s="336">
        <f t="shared" si="0"/>
        <v>0</v>
      </c>
      <c r="N21" s="345"/>
      <c r="O21" s="333">
        <f t="shared" si="3"/>
        <v>0</v>
      </c>
      <c r="P21" s="33"/>
      <c r="Q21" s="25"/>
      <c r="R21" s="40"/>
      <c r="S21" s="26">
        <f t="shared" si="4"/>
        <v>0</v>
      </c>
      <c r="T21" s="38"/>
      <c r="U21" s="20">
        <f t="shared" si="5"/>
        <v>0</v>
      </c>
      <c r="V21" s="33"/>
      <c r="W21" s="25"/>
      <c r="X21" s="40"/>
      <c r="Y21" s="26">
        <f t="shared" si="6"/>
        <v>0</v>
      </c>
      <c r="Z21" s="38"/>
      <c r="AA21" s="20">
        <f t="shared" si="7"/>
        <v>0</v>
      </c>
      <c r="AB21" s="21" t="e">
        <f t="shared" si="8"/>
        <v>#DIV/0!</v>
      </c>
      <c r="AC21" s="3"/>
      <c r="AD21" s="3"/>
    </row>
    <row r="22" spans="1:30" x14ac:dyDescent="0.25">
      <c r="A22" s="1"/>
      <c r="B22" s="22" t="s">
        <v>36</v>
      </c>
      <c r="C22" s="41" t="s">
        <v>37</v>
      </c>
      <c r="D22" s="33"/>
      <c r="E22" s="25"/>
      <c r="F22" s="40">
        <v>813</v>
      </c>
      <c r="G22" s="26">
        <f t="shared" si="1"/>
        <v>813</v>
      </c>
      <c r="H22" s="42">
        <v>199.4</v>
      </c>
      <c r="I22" s="20">
        <f>G22+H22</f>
        <v>1012.4</v>
      </c>
      <c r="J22" s="343"/>
      <c r="K22" s="335"/>
      <c r="L22" s="418">
        <v>1500</v>
      </c>
      <c r="M22" s="336">
        <f t="shared" si="0"/>
        <v>1500</v>
      </c>
      <c r="N22" s="346"/>
      <c r="O22" s="333">
        <f>M22+N22</f>
        <v>1500</v>
      </c>
      <c r="P22" s="33"/>
      <c r="Q22" s="25"/>
      <c r="R22" s="40">
        <v>285.2</v>
      </c>
      <c r="S22" s="26">
        <f t="shared" si="4"/>
        <v>285.2</v>
      </c>
      <c r="T22" s="42">
        <v>187</v>
      </c>
      <c r="U22" s="20">
        <f>S22+T22</f>
        <v>472.2</v>
      </c>
      <c r="V22" s="33"/>
      <c r="W22" s="25"/>
      <c r="X22" s="40">
        <v>1500</v>
      </c>
      <c r="Y22" s="26">
        <f t="shared" si="6"/>
        <v>1500</v>
      </c>
      <c r="Z22" s="42"/>
      <c r="AA22" s="20">
        <f>Y22+Z22</f>
        <v>1500</v>
      </c>
      <c r="AB22" s="21">
        <f t="shared" si="8"/>
        <v>1</v>
      </c>
      <c r="AC22" s="3"/>
      <c r="AD22" s="3"/>
    </row>
    <row r="23" spans="1:30" x14ac:dyDescent="0.25">
      <c r="A23" s="1"/>
      <c r="B23" s="22" t="s">
        <v>38</v>
      </c>
      <c r="C23" s="41" t="s">
        <v>39</v>
      </c>
      <c r="D23" s="33"/>
      <c r="E23" s="25"/>
      <c r="F23" s="40"/>
      <c r="G23" s="26">
        <f t="shared" si="1"/>
        <v>0</v>
      </c>
      <c r="H23" s="42"/>
      <c r="I23" s="20">
        <f t="shared" si="2"/>
        <v>0</v>
      </c>
      <c r="J23" s="343"/>
      <c r="K23" s="335"/>
      <c r="L23" s="418"/>
      <c r="M23" s="336">
        <f t="shared" si="0"/>
        <v>0</v>
      </c>
      <c r="N23" s="346"/>
      <c r="O23" s="333">
        <f t="shared" ref="O23:O24" si="9">M23+N23</f>
        <v>0</v>
      </c>
      <c r="P23" s="33"/>
      <c r="Q23" s="25"/>
      <c r="R23" s="40"/>
      <c r="S23" s="26">
        <f t="shared" si="4"/>
        <v>0</v>
      </c>
      <c r="T23" s="42"/>
      <c r="U23" s="20">
        <f t="shared" ref="U23:U24" si="10">S23+T23</f>
        <v>0</v>
      </c>
      <c r="V23" s="33"/>
      <c r="W23" s="25"/>
      <c r="X23" s="40"/>
      <c r="Y23" s="26">
        <f t="shared" si="6"/>
        <v>0</v>
      </c>
      <c r="Z23" s="42"/>
      <c r="AA23" s="20">
        <f t="shared" ref="AA23:AA24" si="11">Y23+Z23</f>
        <v>0</v>
      </c>
      <c r="AB23" s="21" t="e">
        <f t="shared" si="8"/>
        <v>#DIV/0!</v>
      </c>
      <c r="AC23" s="3"/>
      <c r="AD23" s="3"/>
    </row>
    <row r="24" spans="1:30" ht="15.75" thickBot="1" x14ac:dyDescent="0.3">
      <c r="A24" s="1"/>
      <c r="B24" s="43" t="s">
        <v>40</v>
      </c>
      <c r="C24" s="44" t="s">
        <v>41</v>
      </c>
      <c r="D24" s="45"/>
      <c r="E24" s="46"/>
      <c r="F24" s="47"/>
      <c r="G24" s="26">
        <f t="shared" si="1"/>
        <v>0</v>
      </c>
      <c r="H24" s="49"/>
      <c r="I24" s="50">
        <f t="shared" si="2"/>
        <v>0</v>
      </c>
      <c r="J24" s="347"/>
      <c r="K24" s="348"/>
      <c r="L24" s="419"/>
      <c r="M24" s="349">
        <f t="shared" si="0"/>
        <v>0</v>
      </c>
      <c r="N24" s="350"/>
      <c r="O24" s="351">
        <f t="shared" si="9"/>
        <v>0</v>
      </c>
      <c r="P24" s="45"/>
      <c r="Q24" s="46"/>
      <c r="R24" s="47"/>
      <c r="S24" s="48">
        <f t="shared" si="4"/>
        <v>0</v>
      </c>
      <c r="T24" s="49"/>
      <c r="U24" s="50">
        <f t="shared" si="10"/>
        <v>0</v>
      </c>
      <c r="V24" s="45"/>
      <c r="W24" s="46"/>
      <c r="X24" s="47"/>
      <c r="Y24" s="48">
        <f t="shared" si="6"/>
        <v>0</v>
      </c>
      <c r="Z24" s="49"/>
      <c r="AA24" s="50">
        <f t="shared" si="11"/>
        <v>0</v>
      </c>
      <c r="AB24" s="51" t="e">
        <f t="shared" si="8"/>
        <v>#DIV/0!</v>
      </c>
      <c r="AC24" s="3"/>
      <c r="AD24" s="3"/>
    </row>
    <row r="25" spans="1:30" ht="15.75" thickBot="1" x14ac:dyDescent="0.3">
      <c r="A25" s="1"/>
      <c r="B25" s="52" t="s">
        <v>42</v>
      </c>
      <c r="C25" s="53" t="s">
        <v>43</v>
      </c>
      <c r="D25" s="54">
        <f>SUM(D15:D22)</f>
        <v>6441.1</v>
      </c>
      <c r="E25" s="55">
        <f>SUM(E15:E22)</f>
        <v>57990</v>
      </c>
      <c r="F25" s="55">
        <f>SUM(F15:F22)</f>
        <v>4321.3999999999996</v>
      </c>
      <c r="G25" s="56">
        <f>SUM(D25:F25)</f>
        <v>68752.5</v>
      </c>
      <c r="H25" s="57">
        <f>SUM(H15:H22)</f>
        <v>199.4</v>
      </c>
      <c r="I25" s="57">
        <f>SUM(I15:I22)</f>
        <v>68951.899999999994</v>
      </c>
      <c r="J25" s="352">
        <f>SUM(J15:J22)</f>
        <v>7376.2</v>
      </c>
      <c r="K25" s="353">
        <f>SUM(K15:K22)</f>
        <v>55000</v>
      </c>
      <c r="L25" s="353">
        <f>SUM(L15:L22)</f>
        <v>5057</v>
      </c>
      <c r="M25" s="354">
        <f>SUM(J25:L25)</f>
        <v>67433.2</v>
      </c>
      <c r="N25" s="355">
        <f>SUM(N15:N22)</f>
        <v>0</v>
      </c>
      <c r="O25" s="355">
        <f>SUM(O15:O22)</f>
        <v>67433.2</v>
      </c>
      <c r="P25" s="54">
        <f>SUM(P15:P22)</f>
        <v>3788.8999999999996</v>
      </c>
      <c r="Q25" s="55">
        <f>SUM(Q15:Q22)</f>
        <v>29250.7</v>
      </c>
      <c r="R25" s="55">
        <f>SUM(R15:R22)</f>
        <v>1992.7</v>
      </c>
      <c r="S25" s="56">
        <f>SUM(P25:R25)</f>
        <v>35032.299999999996</v>
      </c>
      <c r="T25" s="57">
        <f>SUM(T15:T22)</f>
        <v>187</v>
      </c>
      <c r="U25" s="57">
        <f>SUM(U15:U22)</f>
        <v>35219.299999999996</v>
      </c>
      <c r="V25" s="54">
        <f>SUM(V15:V22)</f>
        <v>16053.9</v>
      </c>
      <c r="W25" s="55">
        <f>SUM(W15:W22)</f>
        <v>52324.4</v>
      </c>
      <c r="X25" s="55">
        <f>SUM(X15:X22)</f>
        <v>5050</v>
      </c>
      <c r="Y25" s="56">
        <f>SUM(V25:X25)</f>
        <v>73428.3</v>
      </c>
      <c r="Z25" s="57">
        <f>SUM(Z15:Z22)</f>
        <v>0</v>
      </c>
      <c r="AA25" s="57">
        <f>SUM(AA15:AA22)</f>
        <v>73428.3</v>
      </c>
      <c r="AB25" s="58">
        <f t="shared" si="8"/>
        <v>1.0889042786046044</v>
      </c>
      <c r="AC25" s="3"/>
      <c r="AD25" s="3"/>
    </row>
    <row r="26" spans="1:30" ht="15.75" customHeight="1" thickBot="1" x14ac:dyDescent="0.3">
      <c r="A26" s="1"/>
      <c r="B26" s="59"/>
      <c r="C26" s="60"/>
      <c r="D26" s="596" t="s">
        <v>44</v>
      </c>
      <c r="E26" s="597"/>
      <c r="F26" s="597"/>
      <c r="G26" s="598"/>
      <c r="H26" s="598"/>
      <c r="I26" s="599"/>
      <c r="J26" s="705" t="s">
        <v>44</v>
      </c>
      <c r="K26" s="706"/>
      <c r="L26" s="706"/>
      <c r="M26" s="707"/>
      <c r="N26" s="707"/>
      <c r="O26" s="708"/>
      <c r="P26" s="596" t="s">
        <v>44</v>
      </c>
      <c r="Q26" s="597"/>
      <c r="R26" s="597"/>
      <c r="S26" s="598"/>
      <c r="T26" s="598"/>
      <c r="U26" s="599"/>
      <c r="V26" s="596" t="s">
        <v>44</v>
      </c>
      <c r="W26" s="597"/>
      <c r="X26" s="597"/>
      <c r="Y26" s="598"/>
      <c r="Z26" s="598"/>
      <c r="AA26" s="599"/>
      <c r="AB26" s="600" t="s">
        <v>13</v>
      </c>
      <c r="AC26" s="3"/>
      <c r="AD26" s="3"/>
    </row>
    <row r="27" spans="1:30" ht="15.75" thickBot="1" x14ac:dyDescent="0.3">
      <c r="A27" s="1"/>
      <c r="B27" s="590" t="s">
        <v>7</v>
      </c>
      <c r="C27" s="592" t="s">
        <v>8</v>
      </c>
      <c r="D27" s="586" t="s">
        <v>45</v>
      </c>
      <c r="E27" s="587"/>
      <c r="F27" s="587"/>
      <c r="G27" s="588" t="s">
        <v>46</v>
      </c>
      <c r="H27" s="578" t="s">
        <v>47</v>
      </c>
      <c r="I27" s="580" t="s">
        <v>44</v>
      </c>
      <c r="J27" s="709" t="s">
        <v>45</v>
      </c>
      <c r="K27" s="710"/>
      <c r="L27" s="710"/>
      <c r="M27" s="711" t="s">
        <v>46</v>
      </c>
      <c r="N27" s="713" t="s">
        <v>47</v>
      </c>
      <c r="O27" s="715" t="s">
        <v>44</v>
      </c>
      <c r="P27" s="586" t="s">
        <v>45</v>
      </c>
      <c r="Q27" s="587"/>
      <c r="R27" s="587"/>
      <c r="S27" s="588" t="s">
        <v>46</v>
      </c>
      <c r="T27" s="578" t="s">
        <v>47</v>
      </c>
      <c r="U27" s="580" t="s">
        <v>44</v>
      </c>
      <c r="V27" s="586" t="s">
        <v>45</v>
      </c>
      <c r="W27" s="587"/>
      <c r="X27" s="587"/>
      <c r="Y27" s="588" t="s">
        <v>46</v>
      </c>
      <c r="Z27" s="578" t="s">
        <v>47</v>
      </c>
      <c r="AA27" s="580" t="s">
        <v>44</v>
      </c>
      <c r="AB27" s="601"/>
      <c r="AC27" s="3"/>
      <c r="AD27" s="3"/>
    </row>
    <row r="28" spans="1:30" ht="15.75" thickBot="1" x14ac:dyDescent="0.3">
      <c r="A28" s="1"/>
      <c r="B28" s="591"/>
      <c r="C28" s="593"/>
      <c r="D28" s="61" t="s">
        <v>48</v>
      </c>
      <c r="E28" s="62" t="s">
        <v>49</v>
      </c>
      <c r="F28" s="63" t="s">
        <v>50</v>
      </c>
      <c r="G28" s="589"/>
      <c r="H28" s="579"/>
      <c r="I28" s="581"/>
      <c r="J28" s="356" t="s">
        <v>48</v>
      </c>
      <c r="K28" s="357" t="s">
        <v>49</v>
      </c>
      <c r="L28" s="358" t="s">
        <v>50</v>
      </c>
      <c r="M28" s="712"/>
      <c r="N28" s="714"/>
      <c r="O28" s="716"/>
      <c r="P28" s="61" t="s">
        <v>48</v>
      </c>
      <c r="Q28" s="62" t="s">
        <v>49</v>
      </c>
      <c r="R28" s="63" t="s">
        <v>50</v>
      </c>
      <c r="S28" s="589"/>
      <c r="T28" s="579"/>
      <c r="U28" s="581"/>
      <c r="V28" s="61" t="s">
        <v>48</v>
      </c>
      <c r="W28" s="62" t="s">
        <v>49</v>
      </c>
      <c r="X28" s="63" t="s">
        <v>50</v>
      </c>
      <c r="Y28" s="589"/>
      <c r="Z28" s="579"/>
      <c r="AA28" s="581"/>
      <c r="AB28" s="602"/>
      <c r="AC28" s="3"/>
      <c r="AD28" s="3"/>
    </row>
    <row r="29" spans="1:30" x14ac:dyDescent="0.25">
      <c r="A29" s="1"/>
      <c r="B29" s="13" t="s">
        <v>51</v>
      </c>
      <c r="C29" s="67" t="s">
        <v>52</v>
      </c>
      <c r="D29" s="68">
        <v>530</v>
      </c>
      <c r="E29" s="68"/>
      <c r="F29" s="68">
        <v>0.5</v>
      </c>
      <c r="G29" s="70">
        <f>SUM(D29:F29)</f>
        <v>530.5</v>
      </c>
      <c r="H29" s="70"/>
      <c r="I29" s="71">
        <f>G29+H29</f>
        <v>530.5</v>
      </c>
      <c r="J29" s="421">
        <v>449.6</v>
      </c>
      <c r="K29" s="422"/>
      <c r="L29" s="422">
        <v>160</v>
      </c>
      <c r="M29" s="359">
        <f>SUM(J29:L29)</f>
        <v>609.6</v>
      </c>
      <c r="N29" s="359"/>
      <c r="O29" s="360">
        <f>M29+N29</f>
        <v>609.6</v>
      </c>
      <c r="P29" s="72">
        <v>99.5</v>
      </c>
      <c r="Q29" s="68"/>
      <c r="R29" s="68"/>
      <c r="S29" s="70">
        <f>SUM(P29:R29)</f>
        <v>99.5</v>
      </c>
      <c r="T29" s="70"/>
      <c r="U29" s="71">
        <f>S29+T29</f>
        <v>99.5</v>
      </c>
      <c r="V29" s="72">
        <v>352</v>
      </c>
      <c r="W29" s="68"/>
      <c r="X29" s="68">
        <v>180</v>
      </c>
      <c r="Y29" s="70">
        <f>SUM(V29:X29)</f>
        <v>532</v>
      </c>
      <c r="Z29" s="70"/>
      <c r="AA29" s="71">
        <f>Y29+Z29</f>
        <v>532</v>
      </c>
      <c r="AB29" s="21">
        <f t="shared" ref="AB29:AB42" si="12">(AA29/O29)</f>
        <v>0.87270341207349078</v>
      </c>
      <c r="AC29" s="3"/>
      <c r="AD29" s="3"/>
    </row>
    <row r="30" spans="1:30" x14ac:dyDescent="0.25">
      <c r="A30" s="1"/>
      <c r="B30" s="22" t="s">
        <v>53</v>
      </c>
      <c r="C30" s="73" t="s">
        <v>54</v>
      </c>
      <c r="D30" s="74">
        <v>644.5</v>
      </c>
      <c r="E30" s="75">
        <v>445.9</v>
      </c>
      <c r="F30" s="75">
        <v>2293.6999999999998</v>
      </c>
      <c r="G30" s="76">
        <f t="shared" ref="G30:G39" si="13">SUM(D30:F30)</f>
        <v>3384.1</v>
      </c>
      <c r="H30" s="77"/>
      <c r="I30" s="20">
        <f t="shared" ref="I30:I39" si="14">G30+H30</f>
        <v>3384.1</v>
      </c>
      <c r="J30" s="424">
        <v>1350</v>
      </c>
      <c r="K30" s="425">
        <v>262</v>
      </c>
      <c r="L30" s="425">
        <v>2150</v>
      </c>
      <c r="M30" s="361">
        <f t="shared" ref="M30:M39" si="15">SUM(J30:L30)</f>
        <v>3762</v>
      </c>
      <c r="N30" s="362"/>
      <c r="O30" s="333">
        <f t="shared" ref="O30:O39" si="16">M30+N30</f>
        <v>3762</v>
      </c>
      <c r="P30" s="78">
        <v>487.8</v>
      </c>
      <c r="Q30" s="75">
        <v>420.8</v>
      </c>
      <c r="R30" s="75">
        <v>1299.5999999999999</v>
      </c>
      <c r="S30" s="76">
        <f t="shared" ref="S30:S39" si="17">SUM(P30:R30)</f>
        <v>2208.1999999999998</v>
      </c>
      <c r="T30" s="77"/>
      <c r="U30" s="20">
        <f t="shared" ref="U30:U39" si="18">S30+T30</f>
        <v>2208.1999999999998</v>
      </c>
      <c r="V30" s="78">
        <v>2054.1999999999998</v>
      </c>
      <c r="W30" s="75"/>
      <c r="X30" s="75">
        <v>2200</v>
      </c>
      <c r="Y30" s="76">
        <f t="shared" ref="Y30:Y39" si="19">SUM(V30:X30)</f>
        <v>4254.2</v>
      </c>
      <c r="Z30" s="77"/>
      <c r="AA30" s="20">
        <f t="shared" ref="AA30:AA39" si="20">Y30+Z30</f>
        <v>4254.2</v>
      </c>
      <c r="AB30" s="21">
        <f t="shared" si="12"/>
        <v>1.1308346624136096</v>
      </c>
      <c r="AC30" s="3"/>
      <c r="AD30" s="3"/>
    </row>
    <row r="31" spans="1:30" x14ac:dyDescent="0.25">
      <c r="A31" s="1"/>
      <c r="B31" s="22" t="s">
        <v>55</v>
      </c>
      <c r="C31" s="41" t="s">
        <v>56</v>
      </c>
      <c r="D31" s="79">
        <v>3325.3</v>
      </c>
      <c r="E31" s="79"/>
      <c r="F31" s="79"/>
      <c r="G31" s="76">
        <f t="shared" si="13"/>
        <v>3325.3</v>
      </c>
      <c r="H31" s="76">
        <v>96.6</v>
      </c>
      <c r="I31" s="20">
        <f t="shared" si="14"/>
        <v>3421.9</v>
      </c>
      <c r="J31" s="426">
        <v>2890</v>
      </c>
      <c r="K31" s="246"/>
      <c r="L31" s="427">
        <v>300</v>
      </c>
      <c r="M31" s="361">
        <f t="shared" si="15"/>
        <v>3190</v>
      </c>
      <c r="N31" s="361"/>
      <c r="O31" s="333">
        <f t="shared" si="16"/>
        <v>3190</v>
      </c>
      <c r="P31" s="80">
        <v>1777.2</v>
      </c>
      <c r="Q31" s="79"/>
      <c r="R31" s="79"/>
      <c r="S31" s="76">
        <f t="shared" si="17"/>
        <v>1777.2</v>
      </c>
      <c r="T31" s="76"/>
      <c r="U31" s="20">
        <f t="shared" si="18"/>
        <v>1777.2</v>
      </c>
      <c r="V31" s="80">
        <v>2900</v>
      </c>
      <c r="W31" s="79"/>
      <c r="X31" s="79">
        <v>300</v>
      </c>
      <c r="Y31" s="76">
        <f t="shared" si="19"/>
        <v>3200</v>
      </c>
      <c r="Z31" s="76"/>
      <c r="AA31" s="20">
        <f t="shared" si="20"/>
        <v>3200</v>
      </c>
      <c r="AB31" s="21">
        <f t="shared" si="12"/>
        <v>1.0031347962382444</v>
      </c>
      <c r="AC31" s="3"/>
      <c r="AD31" s="3"/>
    </row>
    <row r="32" spans="1:30" x14ac:dyDescent="0.25">
      <c r="A32" s="1"/>
      <c r="B32" s="22" t="s">
        <v>57</v>
      </c>
      <c r="C32" s="41" t="s">
        <v>299</v>
      </c>
      <c r="D32" s="79">
        <v>854</v>
      </c>
      <c r="E32" s="79">
        <v>625</v>
      </c>
      <c r="F32" s="79"/>
      <c r="G32" s="76">
        <f t="shared" si="13"/>
        <v>1479</v>
      </c>
      <c r="H32" s="76"/>
      <c r="I32" s="20">
        <f t="shared" si="14"/>
        <v>1479</v>
      </c>
      <c r="J32" s="426">
        <v>1332.5</v>
      </c>
      <c r="K32" s="427"/>
      <c r="L32" s="427">
        <v>1300</v>
      </c>
      <c r="M32" s="361">
        <f t="shared" si="15"/>
        <v>2632.5</v>
      </c>
      <c r="N32" s="361"/>
      <c r="O32" s="333">
        <f t="shared" si="16"/>
        <v>2632.5</v>
      </c>
      <c r="P32" s="80">
        <v>373.6</v>
      </c>
      <c r="Q32" s="79"/>
      <c r="R32" s="79"/>
      <c r="S32" s="76">
        <f t="shared" si="17"/>
        <v>373.6</v>
      </c>
      <c r="T32" s="76"/>
      <c r="U32" s="20">
        <f t="shared" si="18"/>
        <v>373.6</v>
      </c>
      <c r="V32" s="80">
        <v>1353</v>
      </c>
      <c r="W32" s="79"/>
      <c r="X32" s="79">
        <v>1220</v>
      </c>
      <c r="Y32" s="76">
        <f t="shared" si="19"/>
        <v>2573</v>
      </c>
      <c r="Z32" s="76"/>
      <c r="AA32" s="20">
        <f t="shared" si="20"/>
        <v>2573</v>
      </c>
      <c r="AB32" s="21">
        <f t="shared" si="12"/>
        <v>0.97739791073124405</v>
      </c>
      <c r="AC32" s="3"/>
      <c r="AD32" s="3"/>
    </row>
    <row r="33" spans="1:30" x14ac:dyDescent="0.25">
      <c r="A33" s="1"/>
      <c r="B33" s="22" t="s">
        <v>59</v>
      </c>
      <c r="C33" s="41" t="s">
        <v>60</v>
      </c>
      <c r="D33" s="363"/>
      <c r="E33" s="79">
        <v>55824</v>
      </c>
      <c r="F33" s="79"/>
      <c r="G33" s="76">
        <f t="shared" si="13"/>
        <v>55824</v>
      </c>
      <c r="H33" s="76"/>
      <c r="I33" s="20">
        <f t="shared" si="14"/>
        <v>55824</v>
      </c>
      <c r="J33" s="426">
        <v>239.1</v>
      </c>
      <c r="K33" s="427">
        <v>54738</v>
      </c>
      <c r="L33" s="427"/>
      <c r="M33" s="361">
        <f t="shared" si="15"/>
        <v>54977.1</v>
      </c>
      <c r="N33" s="361"/>
      <c r="O33" s="333">
        <f t="shared" si="16"/>
        <v>54977.1</v>
      </c>
      <c r="P33" s="82"/>
      <c r="Q33" s="79">
        <v>26925.1</v>
      </c>
      <c r="R33" s="79"/>
      <c r="S33" s="76">
        <f t="shared" si="17"/>
        <v>26925.1</v>
      </c>
      <c r="T33" s="76"/>
      <c r="U33" s="20">
        <f t="shared" si="18"/>
        <v>26925.1</v>
      </c>
      <c r="V33" s="82">
        <v>8449.7000000000007</v>
      </c>
      <c r="W33" s="79">
        <v>52000</v>
      </c>
      <c r="X33" s="79"/>
      <c r="Y33" s="76">
        <f t="shared" si="19"/>
        <v>60449.7</v>
      </c>
      <c r="Z33" s="76"/>
      <c r="AA33" s="20">
        <f t="shared" si="20"/>
        <v>60449.7</v>
      </c>
      <c r="AB33" s="21">
        <f t="shared" si="12"/>
        <v>1.0995432643773497</v>
      </c>
      <c r="AC33" s="3"/>
      <c r="AD33" s="3"/>
    </row>
    <row r="34" spans="1:30" x14ac:dyDescent="0.25">
      <c r="A34" s="1"/>
      <c r="B34" s="22" t="s">
        <v>61</v>
      </c>
      <c r="C34" s="35" t="s">
        <v>127</v>
      </c>
      <c r="D34" s="363"/>
      <c r="E34" s="79">
        <v>41846.9</v>
      </c>
      <c r="F34" s="79"/>
      <c r="G34" s="76">
        <f t="shared" si="13"/>
        <v>41846.9</v>
      </c>
      <c r="H34" s="76"/>
      <c r="I34" s="20">
        <f t="shared" si="14"/>
        <v>41846.9</v>
      </c>
      <c r="J34" s="426"/>
      <c r="K34" s="427"/>
      <c r="L34" s="427"/>
      <c r="M34" s="361">
        <f t="shared" si="15"/>
        <v>0</v>
      </c>
      <c r="N34" s="361"/>
      <c r="O34" s="333">
        <f t="shared" si="16"/>
        <v>0</v>
      </c>
      <c r="P34" s="82"/>
      <c r="Q34" s="79">
        <v>20309.5</v>
      </c>
      <c r="R34" s="79"/>
      <c r="S34" s="76">
        <f t="shared" si="17"/>
        <v>20309.5</v>
      </c>
      <c r="T34" s="76"/>
      <c r="U34" s="20">
        <f t="shared" si="18"/>
        <v>20309.5</v>
      </c>
      <c r="V34" s="82"/>
      <c r="W34" s="79"/>
      <c r="X34" s="79"/>
      <c r="Y34" s="76">
        <f t="shared" si="19"/>
        <v>0</v>
      </c>
      <c r="Z34" s="76"/>
      <c r="AA34" s="20">
        <f t="shared" si="20"/>
        <v>0</v>
      </c>
      <c r="AB34" s="21" t="e">
        <f t="shared" si="12"/>
        <v>#DIV/0!</v>
      </c>
      <c r="AC34" s="3"/>
      <c r="AD34" s="3"/>
    </row>
    <row r="35" spans="1:30" x14ac:dyDescent="0.25">
      <c r="A35" s="1"/>
      <c r="B35" s="22" t="s">
        <v>63</v>
      </c>
      <c r="C35" s="81" t="s">
        <v>64</v>
      </c>
      <c r="D35" s="363"/>
      <c r="E35" s="79">
        <v>13977.1</v>
      </c>
      <c r="F35" s="79"/>
      <c r="G35" s="76">
        <f t="shared" si="13"/>
        <v>13977.1</v>
      </c>
      <c r="H35" s="76"/>
      <c r="I35" s="20">
        <f t="shared" si="14"/>
        <v>13977.1</v>
      </c>
      <c r="J35" s="426"/>
      <c r="K35" s="427"/>
      <c r="L35" s="427"/>
      <c r="M35" s="361">
        <f>SUM(J35:L35)</f>
        <v>0</v>
      </c>
      <c r="N35" s="361"/>
      <c r="O35" s="333">
        <f t="shared" si="16"/>
        <v>0</v>
      </c>
      <c r="P35" s="82"/>
      <c r="Q35" s="79">
        <v>6615.6</v>
      </c>
      <c r="R35" s="79"/>
      <c r="S35" s="76">
        <f t="shared" si="17"/>
        <v>6615.6</v>
      </c>
      <c r="T35" s="76"/>
      <c r="U35" s="20">
        <f t="shared" si="18"/>
        <v>6615.6</v>
      </c>
      <c r="V35" s="82"/>
      <c r="W35" s="79"/>
      <c r="X35" s="79"/>
      <c r="Y35" s="76">
        <f t="shared" si="19"/>
        <v>0</v>
      </c>
      <c r="Z35" s="76"/>
      <c r="AA35" s="20">
        <f t="shared" si="20"/>
        <v>0</v>
      </c>
      <c r="AB35" s="21" t="e">
        <f t="shared" si="12"/>
        <v>#DIV/0!</v>
      </c>
      <c r="AC35" s="3"/>
      <c r="AD35" s="3"/>
    </row>
    <row r="36" spans="1:30" x14ac:dyDescent="0.25">
      <c r="A36" s="1"/>
      <c r="B36" s="22" t="s">
        <v>65</v>
      </c>
      <c r="C36" s="41" t="s">
        <v>66</v>
      </c>
      <c r="D36" s="363"/>
      <c r="E36" s="79">
        <v>175.6</v>
      </c>
      <c r="F36" s="79"/>
      <c r="G36" s="76">
        <f t="shared" si="13"/>
        <v>175.6</v>
      </c>
      <c r="H36" s="76"/>
      <c r="I36" s="20">
        <f t="shared" si="14"/>
        <v>175.6</v>
      </c>
      <c r="J36" s="426"/>
      <c r="K36" s="427"/>
      <c r="L36" s="427"/>
      <c r="M36" s="361">
        <f t="shared" ref="M36" si="21">SUM(J36:L36)</f>
        <v>0</v>
      </c>
      <c r="N36" s="361"/>
      <c r="O36" s="333">
        <f t="shared" si="16"/>
        <v>0</v>
      </c>
      <c r="P36" s="82"/>
      <c r="Q36" s="79">
        <v>310</v>
      </c>
      <c r="R36" s="79"/>
      <c r="S36" s="76">
        <f t="shared" si="17"/>
        <v>310</v>
      </c>
      <c r="T36" s="76"/>
      <c r="U36" s="20">
        <f t="shared" si="18"/>
        <v>310</v>
      </c>
      <c r="V36" s="82"/>
      <c r="W36" s="79"/>
      <c r="X36" s="79"/>
      <c r="Y36" s="76">
        <f t="shared" si="19"/>
        <v>0</v>
      </c>
      <c r="Z36" s="76"/>
      <c r="AA36" s="20">
        <f t="shared" si="20"/>
        <v>0</v>
      </c>
      <c r="AB36" s="21" t="e">
        <f t="shared" si="12"/>
        <v>#DIV/0!</v>
      </c>
      <c r="AC36" s="3"/>
      <c r="AD36" s="3"/>
    </row>
    <row r="37" spans="1:30" x14ac:dyDescent="0.25">
      <c r="A37" s="1"/>
      <c r="B37" s="22" t="s">
        <v>67</v>
      </c>
      <c r="C37" s="41" t="s">
        <v>68</v>
      </c>
      <c r="D37" s="79"/>
      <c r="E37" s="79"/>
      <c r="F37" s="79">
        <v>190.9</v>
      </c>
      <c r="G37" s="76">
        <f t="shared" si="13"/>
        <v>190.9</v>
      </c>
      <c r="H37" s="76"/>
      <c r="I37" s="20">
        <f t="shared" si="14"/>
        <v>190.9</v>
      </c>
      <c r="J37" s="426"/>
      <c r="K37" s="427"/>
      <c r="L37" s="427"/>
      <c r="M37" s="361">
        <f t="shared" si="15"/>
        <v>0</v>
      </c>
      <c r="N37" s="361"/>
      <c r="O37" s="333">
        <f t="shared" si="16"/>
        <v>0</v>
      </c>
      <c r="P37" s="80"/>
      <c r="Q37" s="79"/>
      <c r="R37" s="79"/>
      <c r="S37" s="76">
        <f t="shared" si="17"/>
        <v>0</v>
      </c>
      <c r="T37" s="76"/>
      <c r="U37" s="20">
        <f t="shared" si="18"/>
        <v>0</v>
      </c>
      <c r="V37" s="80"/>
      <c r="W37" s="79"/>
      <c r="X37" s="79"/>
      <c r="Y37" s="76">
        <f t="shared" si="19"/>
        <v>0</v>
      </c>
      <c r="Z37" s="76"/>
      <c r="AA37" s="20">
        <f t="shared" si="20"/>
        <v>0</v>
      </c>
      <c r="AB37" s="21" t="e">
        <f t="shared" si="12"/>
        <v>#DIV/0!</v>
      </c>
      <c r="AC37" s="3"/>
      <c r="AD37" s="3"/>
    </row>
    <row r="38" spans="1:30" x14ac:dyDescent="0.25">
      <c r="A38" s="1"/>
      <c r="B38" s="22" t="s">
        <v>69</v>
      </c>
      <c r="C38" s="41" t="s">
        <v>70</v>
      </c>
      <c r="D38" s="79">
        <v>877.6</v>
      </c>
      <c r="E38" s="79"/>
      <c r="F38" s="79">
        <v>965</v>
      </c>
      <c r="G38" s="76">
        <f t="shared" si="13"/>
        <v>1842.6</v>
      </c>
      <c r="H38" s="76"/>
      <c r="I38" s="20">
        <f t="shared" si="14"/>
        <v>1842.6</v>
      </c>
      <c r="J38" s="426">
        <v>821</v>
      </c>
      <c r="K38" s="427"/>
      <c r="L38" s="427">
        <v>957</v>
      </c>
      <c r="M38" s="361">
        <f t="shared" si="15"/>
        <v>1778</v>
      </c>
      <c r="N38" s="361"/>
      <c r="O38" s="333">
        <f t="shared" si="16"/>
        <v>1778</v>
      </c>
      <c r="P38" s="80">
        <v>312.05</v>
      </c>
      <c r="Q38" s="79"/>
      <c r="R38" s="79">
        <v>270.7</v>
      </c>
      <c r="S38" s="76">
        <f t="shared" si="17"/>
        <v>582.75</v>
      </c>
      <c r="T38" s="76"/>
      <c r="U38" s="20">
        <f t="shared" si="18"/>
        <v>582.75</v>
      </c>
      <c r="V38" s="80">
        <v>800</v>
      </c>
      <c r="W38" s="79"/>
      <c r="X38" s="79">
        <v>950</v>
      </c>
      <c r="Y38" s="76">
        <f t="shared" si="19"/>
        <v>1750</v>
      </c>
      <c r="Z38" s="76"/>
      <c r="AA38" s="20">
        <f t="shared" si="20"/>
        <v>1750</v>
      </c>
      <c r="AB38" s="21">
        <f t="shared" si="12"/>
        <v>0.98425196850393704</v>
      </c>
      <c r="AC38" s="3"/>
      <c r="AD38" s="3"/>
    </row>
    <row r="39" spans="1:30" ht="15.75" thickBot="1" x14ac:dyDescent="0.3">
      <c r="A39" s="1"/>
      <c r="B39" s="83" t="s">
        <v>71</v>
      </c>
      <c r="C39" s="84" t="s">
        <v>72</v>
      </c>
      <c r="D39" s="85">
        <v>209.7</v>
      </c>
      <c r="E39" s="85">
        <v>919.5</v>
      </c>
      <c r="F39" s="89">
        <v>763.6</v>
      </c>
      <c r="G39" s="76">
        <f t="shared" si="13"/>
        <v>1892.8000000000002</v>
      </c>
      <c r="H39" s="87"/>
      <c r="I39" s="50">
        <f t="shared" si="14"/>
        <v>1892.8000000000002</v>
      </c>
      <c r="J39" s="431">
        <v>294</v>
      </c>
      <c r="K39" s="432"/>
      <c r="L39" s="432">
        <v>190</v>
      </c>
      <c r="M39" s="364">
        <f t="shared" si="15"/>
        <v>484</v>
      </c>
      <c r="N39" s="364"/>
      <c r="O39" s="351">
        <f t="shared" si="16"/>
        <v>484</v>
      </c>
      <c r="P39" s="88">
        <v>831.7</v>
      </c>
      <c r="Q39" s="89">
        <v>450.5</v>
      </c>
      <c r="R39" s="89">
        <v>35</v>
      </c>
      <c r="S39" s="87">
        <f t="shared" si="17"/>
        <v>1317.2</v>
      </c>
      <c r="T39" s="87"/>
      <c r="U39" s="50">
        <f t="shared" si="18"/>
        <v>1317.2</v>
      </c>
      <c r="V39" s="88">
        <v>145</v>
      </c>
      <c r="W39" s="89">
        <v>324.39999999999998</v>
      </c>
      <c r="X39" s="89">
        <v>200</v>
      </c>
      <c r="Y39" s="87">
        <f t="shared" si="19"/>
        <v>669.4</v>
      </c>
      <c r="Z39" s="87"/>
      <c r="AA39" s="50">
        <f t="shared" si="20"/>
        <v>669.4</v>
      </c>
      <c r="AB39" s="51">
        <f t="shared" si="12"/>
        <v>1.3830578512396694</v>
      </c>
      <c r="AC39" s="3"/>
      <c r="AD39" s="3"/>
    </row>
    <row r="40" spans="1:30" ht="15.75" thickBot="1" x14ac:dyDescent="0.3">
      <c r="A40" s="1"/>
      <c r="B40" s="52" t="s">
        <v>73</v>
      </c>
      <c r="C40" s="90" t="s">
        <v>74</v>
      </c>
      <c r="D40" s="91">
        <f>SUM(D36:D39)+SUM(D29:D33)</f>
        <v>6441.1</v>
      </c>
      <c r="E40" s="91">
        <f>SUM(E36:E39)+SUM(E29:E33)</f>
        <v>57990</v>
      </c>
      <c r="F40" s="91">
        <f>SUM(F36:F39)+SUM(F29:F33)</f>
        <v>4213.7</v>
      </c>
      <c r="G40" s="92">
        <f>SUM(D40:F40)</f>
        <v>68644.800000000003</v>
      </c>
      <c r="H40" s="93">
        <f>SUM(H29:H33)+SUM(H36:H39)</f>
        <v>96.6</v>
      </c>
      <c r="I40" s="94">
        <f>SUM(I36:I39)+SUM(I29:I33)</f>
        <v>68741.399999999994</v>
      </c>
      <c r="J40" s="365">
        <f>SUM(J36:J39)+SUM(J29:J33)</f>
        <v>7376.2000000000007</v>
      </c>
      <c r="K40" s="365">
        <f>SUM(K36:K39)+SUM(K29:K33)</f>
        <v>55000</v>
      </c>
      <c r="L40" s="365">
        <f>SUM(L36:L39)+SUM(L29:L33)</f>
        <v>5057</v>
      </c>
      <c r="M40" s="366">
        <f>SUM(J40:L40)</f>
        <v>67433.2</v>
      </c>
      <c r="N40" s="367">
        <f>SUM(N29:N33)+SUM(N36:N39)</f>
        <v>0</v>
      </c>
      <c r="O40" s="368">
        <f>SUM(O36:O39)+SUM(O29:O33)</f>
        <v>67433.2</v>
      </c>
      <c r="P40" s="91">
        <f>SUM(P36:P39)+SUM(P29:P33)</f>
        <v>3881.85</v>
      </c>
      <c r="Q40" s="91">
        <f>SUM(Q36:Q39)+SUM(Q29:Q33)</f>
        <v>28106.399999999998</v>
      </c>
      <c r="R40" s="91">
        <f>SUM(R36:R39)+SUM(R29:R33)</f>
        <v>1605.3</v>
      </c>
      <c r="S40" s="92">
        <f>SUM(P40:R40)</f>
        <v>33593.549999999996</v>
      </c>
      <c r="T40" s="93">
        <f>SUM(T29:T33)+SUM(T36:T39)</f>
        <v>0</v>
      </c>
      <c r="U40" s="94">
        <f>SUM(U36:U39)+SUM(U29:U33)</f>
        <v>33593.549999999996</v>
      </c>
      <c r="V40" s="91">
        <f>SUM(V36:V39)+SUM(V29:V33)</f>
        <v>16053.900000000001</v>
      </c>
      <c r="W40" s="91">
        <f>SUM(W36:W39)+SUM(W29:W33)</f>
        <v>52324.4</v>
      </c>
      <c r="X40" s="91">
        <f>SUM(X36:X39)+SUM(X29:X33)</f>
        <v>5050</v>
      </c>
      <c r="Y40" s="92">
        <f>SUM(V40:X40)</f>
        <v>73428.3</v>
      </c>
      <c r="Z40" s="93">
        <f>SUM(Z29:Z33)+SUM(Z36:Z39)</f>
        <v>0</v>
      </c>
      <c r="AA40" s="94">
        <f>SUM(AA36:AA39)+SUM(AA29:AA33)</f>
        <v>73428.299999999988</v>
      </c>
      <c r="AB40" s="95">
        <f t="shared" si="12"/>
        <v>1.0889042786046041</v>
      </c>
      <c r="AC40" s="3"/>
      <c r="AD40" s="3"/>
    </row>
    <row r="41" spans="1:30" ht="19.5" thickBot="1" x14ac:dyDescent="0.35">
      <c r="A41" s="1"/>
      <c r="B41" s="96" t="s">
        <v>75</v>
      </c>
      <c r="C41" s="97" t="s">
        <v>76</v>
      </c>
      <c r="D41" s="98">
        <f t="shared" ref="D41:AA41" si="22">D25-D40</f>
        <v>0</v>
      </c>
      <c r="E41" s="98">
        <f t="shared" si="22"/>
        <v>0</v>
      </c>
      <c r="F41" s="98">
        <f t="shared" si="22"/>
        <v>107.69999999999982</v>
      </c>
      <c r="G41" s="99">
        <f t="shared" si="22"/>
        <v>107.69999999999709</v>
      </c>
      <c r="H41" s="99">
        <f t="shared" si="22"/>
        <v>102.80000000000001</v>
      </c>
      <c r="I41" s="100">
        <f t="shared" si="22"/>
        <v>210.5</v>
      </c>
      <c r="J41" s="98">
        <f t="shared" si="22"/>
        <v>0</v>
      </c>
      <c r="K41" s="98">
        <f t="shared" si="22"/>
        <v>0</v>
      </c>
      <c r="L41" s="98">
        <f t="shared" si="22"/>
        <v>0</v>
      </c>
      <c r="M41" s="369">
        <f t="shared" si="22"/>
        <v>0</v>
      </c>
      <c r="N41" s="369">
        <f t="shared" si="22"/>
        <v>0</v>
      </c>
      <c r="O41" s="370">
        <f t="shared" si="22"/>
        <v>0</v>
      </c>
      <c r="P41" s="98">
        <f t="shared" si="22"/>
        <v>-92.950000000000273</v>
      </c>
      <c r="Q41" s="98">
        <f t="shared" si="22"/>
        <v>1144.3000000000029</v>
      </c>
      <c r="R41" s="98">
        <f t="shared" si="22"/>
        <v>387.40000000000009</v>
      </c>
      <c r="S41" s="99">
        <f t="shared" si="22"/>
        <v>1438.75</v>
      </c>
      <c r="T41" s="99">
        <f t="shared" si="22"/>
        <v>187</v>
      </c>
      <c r="U41" s="100">
        <f t="shared" si="22"/>
        <v>1625.75</v>
      </c>
      <c r="V41" s="98">
        <f t="shared" si="22"/>
        <v>0</v>
      </c>
      <c r="W41" s="98">
        <f t="shared" si="22"/>
        <v>0</v>
      </c>
      <c r="X41" s="98">
        <f t="shared" si="22"/>
        <v>0</v>
      </c>
      <c r="Y41" s="99">
        <f t="shared" si="22"/>
        <v>0</v>
      </c>
      <c r="Z41" s="99">
        <f t="shared" si="22"/>
        <v>0</v>
      </c>
      <c r="AA41" s="100">
        <f t="shared" si="22"/>
        <v>0</v>
      </c>
      <c r="AB41" s="104" t="e">
        <f t="shared" si="12"/>
        <v>#DIV/0!</v>
      </c>
      <c r="AC41" s="3"/>
      <c r="AD41" s="3"/>
    </row>
    <row r="42" spans="1:30" ht="15.75" thickBot="1" x14ac:dyDescent="0.3">
      <c r="A42" s="1"/>
      <c r="B42" s="105" t="s">
        <v>77</v>
      </c>
      <c r="C42" s="106" t="s">
        <v>78</v>
      </c>
      <c r="D42" s="107"/>
      <c r="E42" s="108"/>
      <c r="F42" s="108"/>
      <c r="G42" s="109"/>
      <c r="H42" s="110"/>
      <c r="I42" s="111">
        <f>I41-D16</f>
        <v>-5895.1</v>
      </c>
      <c r="J42" s="107"/>
      <c r="K42" s="108"/>
      <c r="L42" s="108"/>
      <c r="M42" s="109"/>
      <c r="N42" s="113"/>
      <c r="O42" s="111">
        <f>O41-J16</f>
        <v>-7087.5</v>
      </c>
      <c r="P42" s="107"/>
      <c r="Q42" s="108"/>
      <c r="R42" s="108"/>
      <c r="S42" s="109"/>
      <c r="T42" s="113"/>
      <c r="U42" s="111">
        <f>U41-P16</f>
        <v>-1874.4499999999998</v>
      </c>
      <c r="V42" s="107"/>
      <c r="W42" s="108"/>
      <c r="X42" s="108"/>
      <c r="Y42" s="109"/>
      <c r="Z42" s="113"/>
      <c r="AA42" s="111">
        <f>AA41-V16</f>
        <v>-6644.1</v>
      </c>
      <c r="AB42" s="21">
        <f t="shared" si="12"/>
        <v>0.93743915343915352</v>
      </c>
      <c r="AC42" s="3"/>
      <c r="AD42" s="3"/>
    </row>
    <row r="43" spans="1:30" s="121" customFormat="1" ht="8.25" customHeight="1" thickBot="1" x14ac:dyDescent="0.3">
      <c r="A43" s="115"/>
      <c r="B43" s="116"/>
      <c r="C43" s="117"/>
      <c r="D43" s="118"/>
      <c r="E43" s="119"/>
      <c r="F43" s="119"/>
      <c r="G43" s="115"/>
      <c r="H43" s="119"/>
      <c r="I43" s="119"/>
      <c r="J43" s="118"/>
      <c r="K43" s="119"/>
      <c r="L43" s="119"/>
      <c r="M43" s="115"/>
      <c r="N43" s="119"/>
      <c r="O43" s="119"/>
      <c r="P43" s="119"/>
      <c r="Q43" s="119"/>
      <c r="R43" s="119"/>
      <c r="S43" s="119"/>
      <c r="T43" s="119"/>
      <c r="U43" s="119"/>
      <c r="V43" s="120"/>
      <c r="W43" s="120"/>
      <c r="X43" s="120"/>
      <c r="Y43" s="120"/>
      <c r="Z43" s="120"/>
      <c r="AA43" s="120"/>
      <c r="AB43" s="120"/>
      <c r="AC43" s="120"/>
      <c r="AD43" s="120"/>
    </row>
    <row r="44" spans="1:30" s="121" customFormat="1" ht="15.75" customHeight="1" thickBot="1" x14ac:dyDescent="0.3">
      <c r="A44" s="115"/>
      <c r="B44" s="122"/>
      <c r="C44" s="582" t="s">
        <v>79</v>
      </c>
      <c r="D44" s="123" t="s">
        <v>80</v>
      </c>
      <c r="E44" s="124" t="s">
        <v>81</v>
      </c>
      <c r="F44" s="125" t="s">
        <v>82</v>
      </c>
      <c r="G44" s="119"/>
      <c r="H44" s="119"/>
      <c r="I44" s="126"/>
      <c r="J44" s="123" t="s">
        <v>80</v>
      </c>
      <c r="K44" s="124" t="s">
        <v>81</v>
      </c>
      <c r="L44" s="125" t="s">
        <v>82</v>
      </c>
      <c r="M44" s="119"/>
      <c r="N44" s="119"/>
      <c r="O44" s="119"/>
      <c r="P44" s="123" t="s">
        <v>80</v>
      </c>
      <c r="Q44" s="124" t="s">
        <v>81</v>
      </c>
      <c r="R44" s="125" t="s">
        <v>82</v>
      </c>
      <c r="S44" s="120"/>
      <c r="T44" s="120"/>
      <c r="U44" s="120"/>
      <c r="V44" s="123" t="s">
        <v>80</v>
      </c>
      <c r="W44" s="124" t="s">
        <v>81</v>
      </c>
      <c r="X44" s="125" t="s">
        <v>82</v>
      </c>
      <c r="Y44" s="120"/>
      <c r="Z44" s="120"/>
      <c r="AA44" s="120"/>
      <c r="AB44" s="120"/>
      <c r="AC44" s="120"/>
      <c r="AD44" s="120"/>
    </row>
    <row r="45" spans="1:30" ht="15.75" thickBot="1" x14ac:dyDescent="0.3">
      <c r="A45" s="1"/>
      <c r="B45" s="122"/>
      <c r="C45" s="583"/>
      <c r="D45" s="127">
        <v>393.1</v>
      </c>
      <c r="E45" s="128">
        <v>393.1</v>
      </c>
      <c r="F45" s="129">
        <v>0</v>
      </c>
      <c r="G45" s="119"/>
      <c r="H45" s="119"/>
      <c r="I45" s="126"/>
      <c r="J45" s="127">
        <v>393.1</v>
      </c>
      <c r="K45" s="128">
        <v>393.1</v>
      </c>
      <c r="L45" s="129">
        <v>0</v>
      </c>
      <c r="M45" s="130"/>
      <c r="N45" s="130"/>
      <c r="O45" s="130"/>
      <c r="P45" s="127">
        <v>143.5</v>
      </c>
      <c r="Q45" s="128">
        <v>143.5</v>
      </c>
      <c r="R45" s="129">
        <v>0</v>
      </c>
      <c r="S45" s="3"/>
      <c r="T45" s="3"/>
      <c r="U45" s="3"/>
      <c r="V45" s="127">
        <v>287.3</v>
      </c>
      <c r="W45" s="128">
        <v>287.3</v>
      </c>
      <c r="X45" s="129">
        <v>0</v>
      </c>
      <c r="Y45" s="3"/>
      <c r="Z45" s="3"/>
      <c r="AA45" s="3"/>
      <c r="AB45" s="3"/>
      <c r="AC45" s="3"/>
      <c r="AD45" s="3"/>
    </row>
    <row r="46" spans="1:30" s="121" customFormat="1" ht="8.25" customHeight="1" thickBot="1" x14ac:dyDescent="0.3">
      <c r="A46" s="115"/>
      <c r="B46" s="122"/>
      <c r="C46" s="117"/>
      <c r="D46" s="130"/>
      <c r="E46" s="119"/>
      <c r="F46" s="119"/>
      <c r="G46" s="119"/>
      <c r="H46" s="119"/>
      <c r="I46" s="126"/>
      <c r="J46" s="119"/>
      <c r="K46" s="119"/>
      <c r="L46" s="119"/>
      <c r="M46" s="119"/>
      <c r="N46" s="119"/>
      <c r="O46" s="126"/>
      <c r="P46" s="126"/>
      <c r="Q46" s="126"/>
      <c r="R46" s="126"/>
      <c r="S46" s="126"/>
      <c r="T46" s="126"/>
      <c r="U46" s="126"/>
      <c r="V46" s="120"/>
      <c r="W46" s="120"/>
      <c r="X46" s="120"/>
      <c r="Y46" s="120"/>
      <c r="Z46" s="120"/>
      <c r="AA46" s="120"/>
      <c r="AB46" s="120"/>
      <c r="AC46" s="120"/>
      <c r="AD46" s="120"/>
    </row>
    <row r="47" spans="1:30" s="121" customFormat="1" ht="37.5" customHeight="1" thickBot="1" x14ac:dyDescent="0.3">
      <c r="A47" s="115"/>
      <c r="B47" s="122"/>
      <c r="C47" s="582" t="s">
        <v>83</v>
      </c>
      <c r="D47" s="131" t="s">
        <v>84</v>
      </c>
      <c r="E47" s="132" t="s">
        <v>85</v>
      </c>
      <c r="F47" s="119"/>
      <c r="G47" s="119"/>
      <c r="H47" s="119"/>
      <c r="I47" s="126"/>
      <c r="J47" s="131" t="s">
        <v>84</v>
      </c>
      <c r="K47" s="132" t="s">
        <v>85</v>
      </c>
      <c r="L47" s="133"/>
      <c r="M47" s="133"/>
      <c r="N47" s="120"/>
      <c r="O47" s="120"/>
      <c r="P47" s="131" t="s">
        <v>84</v>
      </c>
      <c r="Q47" s="132" t="s">
        <v>85</v>
      </c>
      <c r="R47" s="120"/>
      <c r="S47" s="120"/>
      <c r="T47" s="120"/>
      <c r="U47" s="120"/>
      <c r="V47" s="131" t="s">
        <v>84</v>
      </c>
      <c r="W47" s="132" t="s">
        <v>85</v>
      </c>
      <c r="X47" s="120"/>
      <c r="Y47" s="120"/>
      <c r="Z47" s="120"/>
      <c r="AA47" s="120"/>
      <c r="AB47" s="120"/>
      <c r="AC47" s="120"/>
      <c r="AD47" s="120"/>
    </row>
    <row r="48" spans="1:30" ht="15.75" thickBot="1" x14ac:dyDescent="0.3">
      <c r="A48" s="1"/>
      <c r="B48" s="134"/>
      <c r="C48" s="584"/>
      <c r="D48" s="127">
        <v>850</v>
      </c>
      <c r="E48" s="135">
        <v>0</v>
      </c>
      <c r="F48" s="119"/>
      <c r="G48" s="119"/>
      <c r="H48" s="119"/>
      <c r="I48" s="126"/>
      <c r="J48" s="127">
        <v>0</v>
      </c>
      <c r="K48" s="135">
        <v>0</v>
      </c>
      <c r="L48" s="136"/>
      <c r="M48" s="136"/>
      <c r="N48" s="3"/>
      <c r="O48" s="3"/>
      <c r="P48" s="127">
        <v>0</v>
      </c>
      <c r="Q48" s="135">
        <v>0</v>
      </c>
      <c r="R48" s="3"/>
      <c r="S48" s="3"/>
      <c r="T48" s="3"/>
      <c r="U48" s="3"/>
      <c r="V48" s="127">
        <v>0</v>
      </c>
      <c r="W48" s="135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34"/>
      <c r="C49" s="117"/>
      <c r="D49" s="119"/>
      <c r="E49" s="119"/>
      <c r="F49" s="119"/>
      <c r="G49" s="119"/>
      <c r="H49" s="119"/>
      <c r="I49" s="126"/>
      <c r="J49" s="119"/>
      <c r="K49" s="119"/>
      <c r="L49" s="119"/>
      <c r="M49" s="119"/>
      <c r="N49" s="119"/>
      <c r="O49" s="126"/>
      <c r="P49" s="126"/>
      <c r="Q49" s="126"/>
      <c r="R49" s="126"/>
      <c r="S49" s="126"/>
      <c r="T49" s="126"/>
      <c r="U49" s="126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1"/>
      <c r="B50" s="134"/>
      <c r="C50" s="137" t="s">
        <v>86</v>
      </c>
      <c r="D50" s="138" t="s">
        <v>87</v>
      </c>
      <c r="E50" s="138" t="s">
        <v>88</v>
      </c>
      <c r="F50" s="138" t="s">
        <v>89</v>
      </c>
      <c r="G50" s="138" t="s">
        <v>90</v>
      </c>
      <c r="H50" s="119"/>
      <c r="I50" s="3"/>
      <c r="J50" s="138" t="s">
        <v>87</v>
      </c>
      <c r="K50" s="138" t="s">
        <v>88</v>
      </c>
      <c r="L50" s="138" t="s">
        <v>89</v>
      </c>
      <c r="M50" s="138" t="s">
        <v>91</v>
      </c>
      <c r="N50" s="3"/>
      <c r="O50" s="3"/>
      <c r="P50" s="138" t="s">
        <v>87</v>
      </c>
      <c r="Q50" s="138" t="s">
        <v>88</v>
      </c>
      <c r="R50" s="138" t="s">
        <v>89</v>
      </c>
      <c r="S50" s="138" t="s">
        <v>91</v>
      </c>
      <c r="T50" s="3"/>
      <c r="U50" s="3"/>
      <c r="V50" s="138" t="s">
        <v>92</v>
      </c>
      <c r="W50" s="138" t="s">
        <v>88</v>
      </c>
      <c r="X50" s="138" t="s">
        <v>89</v>
      </c>
      <c r="Y50" s="138" t="s">
        <v>91</v>
      </c>
      <c r="Z50" s="3"/>
      <c r="AA50" s="3"/>
      <c r="AB50" s="3"/>
      <c r="AC50" s="3"/>
      <c r="AD50" s="3"/>
    </row>
    <row r="51" spans="1:30" x14ac:dyDescent="0.25">
      <c r="A51" s="1"/>
      <c r="B51" s="134"/>
      <c r="C51" s="139" t="s">
        <v>300</v>
      </c>
      <c r="D51" s="140">
        <v>609</v>
      </c>
      <c r="E51" s="140">
        <v>214.6</v>
      </c>
      <c r="F51" s="140"/>
      <c r="G51" s="141">
        <f>D51+E51-F51</f>
        <v>823.6</v>
      </c>
      <c r="H51" s="119"/>
      <c r="I51" s="3"/>
      <c r="J51" s="141">
        <v>823.6</v>
      </c>
      <c r="K51" s="140"/>
      <c r="L51" s="140"/>
      <c r="M51" s="141">
        <f>J51+K51-L51</f>
        <v>823.6</v>
      </c>
      <c r="N51" s="3"/>
      <c r="O51" s="3"/>
      <c r="P51" s="140">
        <v>823.6</v>
      </c>
      <c r="Q51" s="140"/>
      <c r="R51" s="140"/>
      <c r="S51" s="141">
        <f>P51+Q51-R51</f>
        <v>823.6</v>
      </c>
      <c r="T51" s="3"/>
      <c r="U51" s="3"/>
      <c r="V51" s="140">
        <v>823.6</v>
      </c>
      <c r="W51" s="140">
        <v>100</v>
      </c>
      <c r="X51" s="140"/>
      <c r="Y51" s="141">
        <f>V51+W51-X51</f>
        <v>923.6</v>
      </c>
      <c r="Z51" s="3"/>
      <c r="AA51" s="3"/>
      <c r="AB51" s="3"/>
      <c r="AC51" s="3"/>
      <c r="AD51" s="3"/>
    </row>
    <row r="52" spans="1:30" x14ac:dyDescent="0.25">
      <c r="A52" s="1"/>
      <c r="B52" s="134"/>
      <c r="C52" s="139" t="s">
        <v>301</v>
      </c>
      <c r="D52" s="140">
        <v>8103.4</v>
      </c>
      <c r="E52" s="140">
        <v>3984.3</v>
      </c>
      <c r="F52" s="140">
        <v>8007.3</v>
      </c>
      <c r="G52" s="141">
        <f t="shared" ref="G52:G55" si="23">D52+E52-F52</f>
        <v>4080.4000000000005</v>
      </c>
      <c r="H52" s="119"/>
      <c r="I52" s="3"/>
      <c r="J52" s="141">
        <v>4080.4</v>
      </c>
      <c r="K52" s="140">
        <v>1750</v>
      </c>
      <c r="L52" s="140">
        <v>4080.4</v>
      </c>
      <c r="M52" s="141">
        <f t="shared" ref="M52:M55" si="24">J52+K52-L52</f>
        <v>1749.9999999999995</v>
      </c>
      <c r="N52" s="3"/>
      <c r="O52" s="3"/>
      <c r="P52" s="140">
        <v>4080.4</v>
      </c>
      <c r="Q52" s="140">
        <v>1750</v>
      </c>
      <c r="R52" s="140">
        <v>4080.4</v>
      </c>
      <c r="S52" s="141">
        <f t="shared" ref="S52:S55" si="25">P52+Q52-R52</f>
        <v>1749.9999999999995</v>
      </c>
      <c r="T52" s="3"/>
      <c r="U52" s="3"/>
      <c r="V52" s="140">
        <v>1750</v>
      </c>
      <c r="W52" s="140">
        <v>0</v>
      </c>
      <c r="X52" s="140">
        <v>700</v>
      </c>
      <c r="Y52" s="141">
        <f t="shared" ref="Y52:Y55" si="26">V52+W52-X52</f>
        <v>1050</v>
      </c>
      <c r="Z52" s="3"/>
      <c r="AA52" s="3"/>
      <c r="AB52" s="3"/>
      <c r="AC52" s="3"/>
      <c r="AD52" s="3"/>
    </row>
    <row r="53" spans="1:30" x14ac:dyDescent="0.25">
      <c r="A53" s="1"/>
      <c r="B53" s="134"/>
      <c r="C53" s="139" t="s">
        <v>95</v>
      </c>
      <c r="D53" s="140">
        <v>913.2</v>
      </c>
      <c r="E53" s="140">
        <v>1727.4</v>
      </c>
      <c r="F53" s="140">
        <v>2237.6</v>
      </c>
      <c r="G53" s="141">
        <f t="shared" si="23"/>
        <v>403.00000000000045</v>
      </c>
      <c r="H53" s="119"/>
      <c r="I53" s="3"/>
      <c r="J53" s="141">
        <v>403</v>
      </c>
      <c r="K53" s="140">
        <v>870</v>
      </c>
      <c r="L53" s="140">
        <v>500</v>
      </c>
      <c r="M53" s="141">
        <f t="shared" si="24"/>
        <v>773</v>
      </c>
      <c r="N53" s="3"/>
      <c r="O53" s="3"/>
      <c r="P53" s="140">
        <v>403</v>
      </c>
      <c r="Q53" s="140">
        <v>870</v>
      </c>
      <c r="R53" s="140">
        <v>500</v>
      </c>
      <c r="S53" s="141">
        <f t="shared" si="25"/>
        <v>773</v>
      </c>
      <c r="T53" s="3"/>
      <c r="U53" s="3"/>
      <c r="V53" s="140">
        <v>773</v>
      </c>
      <c r="W53" s="140">
        <v>870</v>
      </c>
      <c r="X53" s="140">
        <v>600</v>
      </c>
      <c r="Y53" s="141">
        <f t="shared" si="26"/>
        <v>1043</v>
      </c>
      <c r="Z53" s="3"/>
      <c r="AA53" s="3"/>
      <c r="AB53" s="3"/>
      <c r="AC53" s="3"/>
      <c r="AD53" s="3"/>
    </row>
    <row r="54" spans="1:30" x14ac:dyDescent="0.25">
      <c r="A54" s="1"/>
      <c r="B54" s="134"/>
      <c r="C54" s="139" t="s">
        <v>96</v>
      </c>
      <c r="D54" s="140">
        <v>103.4</v>
      </c>
      <c r="E54" s="140">
        <v>53.6</v>
      </c>
      <c r="F54" s="140">
        <v>33.9</v>
      </c>
      <c r="G54" s="141">
        <f t="shared" si="23"/>
        <v>123.1</v>
      </c>
      <c r="H54" s="119"/>
      <c r="I54" s="3"/>
      <c r="J54" s="141">
        <v>123.1</v>
      </c>
      <c r="K54" s="140">
        <v>42</v>
      </c>
      <c r="L54" s="140">
        <v>50</v>
      </c>
      <c r="M54" s="141">
        <f t="shared" si="24"/>
        <v>115.1</v>
      </c>
      <c r="N54" s="3"/>
      <c r="O54" s="3"/>
      <c r="P54" s="140">
        <v>123.1</v>
      </c>
      <c r="Q54" s="140">
        <v>42</v>
      </c>
      <c r="R54" s="140">
        <v>50</v>
      </c>
      <c r="S54" s="141">
        <f t="shared" si="25"/>
        <v>115.1</v>
      </c>
      <c r="T54" s="3"/>
      <c r="U54" s="3"/>
      <c r="V54" s="140">
        <v>115.1</v>
      </c>
      <c r="W54" s="140">
        <v>40</v>
      </c>
      <c r="X54" s="140">
        <v>50</v>
      </c>
      <c r="Y54" s="141">
        <f t="shared" si="26"/>
        <v>105.1</v>
      </c>
      <c r="Z54" s="3"/>
      <c r="AA54" s="3"/>
      <c r="AB54" s="3"/>
      <c r="AC54" s="3"/>
      <c r="AD54" s="3"/>
    </row>
    <row r="55" spans="1:30" x14ac:dyDescent="0.25">
      <c r="A55" s="1"/>
      <c r="B55" s="134"/>
      <c r="C55" s="142" t="s">
        <v>97</v>
      </c>
      <c r="D55" s="140">
        <v>719</v>
      </c>
      <c r="E55" s="140">
        <v>407.6</v>
      </c>
      <c r="F55" s="140">
        <v>554.5</v>
      </c>
      <c r="G55" s="141">
        <f t="shared" si="23"/>
        <v>572.09999999999991</v>
      </c>
      <c r="H55" s="119"/>
      <c r="I55" s="3"/>
      <c r="J55" s="141">
        <v>572.1</v>
      </c>
      <c r="K55" s="140">
        <v>385</v>
      </c>
      <c r="L55" s="140">
        <v>600</v>
      </c>
      <c r="M55" s="141">
        <f t="shared" si="24"/>
        <v>357.1</v>
      </c>
      <c r="N55" s="3"/>
      <c r="O55" s="3"/>
      <c r="P55" s="140">
        <v>572.1</v>
      </c>
      <c r="Q55" s="140">
        <v>385</v>
      </c>
      <c r="R55" s="140">
        <v>600</v>
      </c>
      <c r="S55" s="141">
        <f t="shared" si="25"/>
        <v>357.1</v>
      </c>
      <c r="T55" s="3"/>
      <c r="U55" s="3"/>
      <c r="V55" s="140">
        <v>357.1</v>
      </c>
      <c r="W55" s="140">
        <v>390</v>
      </c>
      <c r="X55" s="140">
        <v>400</v>
      </c>
      <c r="Y55" s="141">
        <f t="shared" si="26"/>
        <v>347.1</v>
      </c>
      <c r="Z55" s="3"/>
      <c r="AA55" s="3"/>
      <c r="AB55" s="3"/>
      <c r="AC55" s="3"/>
      <c r="AD55" s="3"/>
    </row>
    <row r="56" spans="1:30" ht="10.5" customHeight="1" x14ac:dyDescent="0.25">
      <c r="A56" s="1"/>
      <c r="B56" s="134"/>
      <c r="C56" s="117"/>
      <c r="D56" s="119"/>
      <c r="E56" s="119"/>
      <c r="F56" s="119"/>
      <c r="G56" s="119"/>
      <c r="H56" s="11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34"/>
      <c r="C57" s="137" t="s">
        <v>98</v>
      </c>
      <c r="D57" s="138" t="s">
        <v>99</v>
      </c>
      <c r="E57" s="138" t="s">
        <v>100</v>
      </c>
      <c r="F57" s="119"/>
      <c r="G57" s="119"/>
      <c r="H57" s="119"/>
      <c r="I57" s="126"/>
      <c r="J57" s="138" t="s">
        <v>101</v>
      </c>
      <c r="K57" s="119"/>
      <c r="L57" s="119"/>
      <c r="M57" s="119"/>
      <c r="N57" s="119"/>
      <c r="O57" s="126"/>
      <c r="P57" s="138" t="s">
        <v>102</v>
      </c>
      <c r="Q57" s="126"/>
      <c r="R57" s="126"/>
      <c r="S57" s="3"/>
      <c r="T57" s="3"/>
      <c r="U57" s="3"/>
      <c r="V57" s="704" t="s">
        <v>98</v>
      </c>
      <c r="W57" s="704"/>
      <c r="X57" s="704"/>
      <c r="Y57" s="138" t="s">
        <v>101</v>
      </c>
      <c r="Z57" s="3"/>
      <c r="AA57" s="3"/>
      <c r="AB57" s="3"/>
      <c r="AC57" s="3"/>
      <c r="AD57" s="3"/>
    </row>
    <row r="58" spans="1:30" x14ac:dyDescent="0.25">
      <c r="A58" s="1"/>
      <c r="B58" s="134"/>
      <c r="C58" s="371" t="s">
        <v>128</v>
      </c>
      <c r="D58" s="372">
        <v>77.900000000000006</v>
      </c>
      <c r="E58" s="372">
        <v>74.400000000000006</v>
      </c>
      <c r="F58" s="119"/>
      <c r="G58" s="119"/>
      <c r="H58" s="119"/>
      <c r="I58" s="126"/>
      <c r="J58" s="143">
        <v>74.400000000000006</v>
      </c>
      <c r="K58" s="119"/>
      <c r="L58" s="119"/>
      <c r="M58" s="119"/>
      <c r="N58" s="119"/>
      <c r="O58" s="126"/>
      <c r="P58" s="143">
        <v>74.400000000000006</v>
      </c>
      <c r="Q58" s="126"/>
      <c r="R58" s="126"/>
      <c r="S58" s="3"/>
      <c r="T58" s="3"/>
      <c r="U58" s="3"/>
      <c r="V58" s="698" t="s">
        <v>128</v>
      </c>
      <c r="W58" s="698"/>
      <c r="X58" s="698"/>
      <c r="Y58" s="143">
        <v>74.400000000000006</v>
      </c>
      <c r="Z58" s="3"/>
      <c r="AA58" s="3"/>
      <c r="AB58" s="3"/>
      <c r="AC58" s="3"/>
      <c r="AD58" s="3"/>
    </row>
    <row r="59" spans="1:30" x14ac:dyDescent="0.25">
      <c r="A59" s="1"/>
      <c r="B59" s="134"/>
      <c r="C59" s="373"/>
      <c r="D59" s="374"/>
      <c r="E59" s="374"/>
      <c r="F59" s="119"/>
      <c r="G59" s="119"/>
      <c r="H59" s="119"/>
      <c r="I59" s="126"/>
      <c r="J59" s="130"/>
      <c r="K59" s="119"/>
      <c r="L59" s="119"/>
      <c r="M59" s="119"/>
      <c r="N59" s="119"/>
      <c r="O59" s="126"/>
      <c r="P59" s="130"/>
      <c r="Q59" s="126"/>
      <c r="R59" s="126"/>
      <c r="S59" s="3"/>
      <c r="T59" s="3"/>
      <c r="U59" s="3"/>
      <c r="V59" s="698" t="s">
        <v>129</v>
      </c>
      <c r="W59" s="698"/>
      <c r="X59" s="698"/>
      <c r="Y59" s="143">
        <v>15.4</v>
      </c>
      <c r="Z59" s="3"/>
      <c r="AA59" s="3"/>
      <c r="AB59" s="3"/>
      <c r="AC59" s="3"/>
      <c r="AD59" s="3"/>
    </row>
    <row r="60" spans="1:30" s="3" customFormat="1" x14ac:dyDescent="0.25">
      <c r="A60" s="1"/>
      <c r="B60" s="134"/>
      <c r="C60" s="117"/>
      <c r="D60" s="130"/>
      <c r="E60" s="130"/>
      <c r="F60" s="119"/>
      <c r="G60" s="119"/>
      <c r="H60" s="119"/>
      <c r="I60" s="126"/>
      <c r="J60" s="130"/>
      <c r="K60" s="119"/>
      <c r="L60" s="119"/>
      <c r="M60" s="119"/>
      <c r="N60" s="119"/>
      <c r="O60" s="126"/>
      <c r="P60" s="130"/>
      <c r="Q60" s="126"/>
      <c r="R60" s="126"/>
      <c r="S60" s="126"/>
      <c r="T60" s="126"/>
      <c r="U60" s="126"/>
      <c r="V60" s="130"/>
    </row>
    <row r="61" spans="1:30" x14ac:dyDescent="0.25">
      <c r="A61" s="1"/>
      <c r="B61" s="134"/>
      <c r="C61" s="117"/>
      <c r="D61" s="699"/>
      <c r="E61" s="699"/>
      <c r="F61" s="119"/>
      <c r="G61" s="119"/>
      <c r="H61" s="119"/>
      <c r="I61" s="126"/>
      <c r="J61" s="375"/>
      <c r="K61" s="119"/>
      <c r="L61" s="119"/>
      <c r="M61" s="119"/>
      <c r="N61" s="119"/>
      <c r="O61" s="126"/>
      <c r="P61" s="375"/>
      <c r="Q61" s="126"/>
      <c r="R61" s="126"/>
      <c r="S61" s="126"/>
      <c r="T61" s="126"/>
      <c r="U61" s="126"/>
      <c r="V61" s="700" t="s">
        <v>130</v>
      </c>
      <c r="W61" s="701"/>
      <c r="X61" s="702"/>
      <c r="Y61" s="143">
        <v>6268.3</v>
      </c>
      <c r="Z61" s="3"/>
      <c r="AA61" s="3"/>
      <c r="AB61" s="3"/>
      <c r="AC61" s="3"/>
      <c r="AD61" s="3"/>
    </row>
    <row r="62" spans="1:30" s="3" customFormat="1" x14ac:dyDescent="0.25">
      <c r="A62" s="1"/>
      <c r="B62" s="134"/>
      <c r="C62" s="117"/>
      <c r="D62" s="375"/>
      <c r="E62" s="375"/>
      <c r="F62" s="119"/>
      <c r="G62" s="119"/>
      <c r="H62" s="119"/>
      <c r="I62" s="126"/>
      <c r="J62" s="375"/>
      <c r="K62" s="119"/>
      <c r="L62" s="119"/>
      <c r="M62" s="119"/>
      <c r="N62" s="119"/>
      <c r="O62" s="126"/>
      <c r="P62" s="375"/>
      <c r="Q62" s="126"/>
      <c r="R62" s="126"/>
      <c r="S62" s="126"/>
      <c r="T62" s="126"/>
      <c r="U62" s="126"/>
      <c r="V62" s="130"/>
    </row>
    <row r="63" spans="1:30" x14ac:dyDescent="0.25">
      <c r="A63" s="1"/>
      <c r="B63" s="134"/>
      <c r="C63" s="3"/>
      <c r="D63" s="3"/>
      <c r="E63" s="3"/>
      <c r="F63" s="118"/>
      <c r="G63" s="119"/>
      <c r="H63" s="119"/>
      <c r="I63" s="126"/>
      <c r="J63" s="375"/>
      <c r="K63" s="375"/>
      <c r="L63" s="3"/>
      <c r="M63" s="376"/>
      <c r="N63" s="3"/>
      <c r="O63" s="3"/>
      <c r="P63" s="3"/>
      <c r="Q63" s="118"/>
      <c r="R63" s="3"/>
      <c r="S63" s="3"/>
      <c r="T63" s="3"/>
      <c r="U63" s="703" t="s">
        <v>131</v>
      </c>
      <c r="V63" s="703"/>
      <c r="W63" s="703"/>
      <c r="X63" s="703"/>
      <c r="Y63" s="377" t="s">
        <v>132</v>
      </c>
      <c r="Z63" s="3"/>
      <c r="AA63" s="378" t="s">
        <v>133</v>
      </c>
      <c r="AB63" s="379"/>
      <c r="AC63" s="3"/>
      <c r="AD63" s="4"/>
    </row>
    <row r="64" spans="1:30" x14ac:dyDescent="0.25">
      <c r="A64" s="1"/>
      <c r="B64" s="134"/>
      <c r="C64" s="3"/>
      <c r="D64" s="3"/>
      <c r="E64" s="3"/>
      <c r="F64" s="119"/>
      <c r="G64" s="119"/>
      <c r="H64" s="119"/>
      <c r="I64" s="126"/>
      <c r="J64" s="375"/>
      <c r="K64" s="375"/>
      <c r="L64" s="3"/>
      <c r="M64" s="376"/>
      <c r="N64" s="3"/>
      <c r="O64" s="3"/>
      <c r="P64" s="3"/>
      <c r="Q64" s="119"/>
      <c r="R64" s="3"/>
      <c r="S64" s="3"/>
      <c r="T64" s="3"/>
      <c r="U64" s="698" t="s">
        <v>134</v>
      </c>
      <c r="V64" s="698"/>
      <c r="W64" s="698"/>
      <c r="X64" s="698"/>
      <c r="Y64" s="380">
        <v>6268.3</v>
      </c>
      <c r="Z64" s="3"/>
      <c r="AA64" s="381" t="s">
        <v>135</v>
      </c>
      <c r="AB64" s="382">
        <v>648</v>
      </c>
      <c r="AC64" s="3"/>
      <c r="AD64" s="4"/>
    </row>
    <row r="65" spans="1:30" x14ac:dyDescent="0.25">
      <c r="A65" s="1"/>
      <c r="B65" s="134"/>
      <c r="C65" s="3"/>
      <c r="D65" s="3"/>
      <c r="E65" s="3"/>
      <c r="F65" s="119"/>
      <c r="G65" s="119"/>
      <c r="H65" s="119"/>
      <c r="I65" s="126"/>
      <c r="J65" s="375"/>
      <c r="K65" s="375"/>
      <c r="L65" s="3"/>
      <c r="M65" s="376"/>
      <c r="N65" s="3"/>
      <c r="O65" s="3"/>
      <c r="P65" s="3"/>
      <c r="Q65" s="119"/>
      <c r="R65" s="3"/>
      <c r="S65" s="3"/>
      <c r="T65" s="3"/>
      <c r="U65" s="698" t="s">
        <v>136</v>
      </c>
      <c r="V65" s="698"/>
      <c r="W65" s="698"/>
      <c r="X65" s="698"/>
      <c r="Y65" s="380">
        <v>2118.8000000000002</v>
      </c>
      <c r="Z65" s="3"/>
      <c r="AA65" s="381" t="s">
        <v>137</v>
      </c>
      <c r="AB65" s="382">
        <v>110</v>
      </c>
      <c r="AC65" s="3"/>
      <c r="AD65" s="4"/>
    </row>
    <row r="66" spans="1:30" x14ac:dyDescent="0.25">
      <c r="A66" s="1"/>
      <c r="B66" s="134"/>
      <c r="C66" s="3"/>
      <c r="D66" s="3"/>
      <c r="E66" s="3"/>
      <c r="F66" s="119"/>
      <c r="G66" s="119"/>
      <c r="H66" s="119"/>
      <c r="I66" s="126"/>
      <c r="J66" s="375"/>
      <c r="K66" s="375"/>
      <c r="L66" s="3"/>
      <c r="M66" s="376"/>
      <c r="N66" s="3"/>
      <c r="O66" s="3"/>
      <c r="P66" s="3"/>
      <c r="Q66" s="119"/>
      <c r="R66" s="3"/>
      <c r="S66" s="3"/>
      <c r="T66" s="3"/>
      <c r="U66" s="698" t="s">
        <v>230</v>
      </c>
      <c r="V66" s="698"/>
      <c r="W66" s="698"/>
      <c r="X66" s="698"/>
      <c r="Y66" s="380">
        <v>0</v>
      </c>
      <c r="Z66" s="3"/>
      <c r="AA66" s="381" t="s">
        <v>139</v>
      </c>
      <c r="AB66" s="382">
        <v>1293</v>
      </c>
      <c r="AC66" s="3"/>
      <c r="AD66" s="4"/>
    </row>
    <row r="67" spans="1:30" x14ac:dyDescent="0.25">
      <c r="A67" s="3"/>
      <c r="B67" s="3"/>
      <c r="C67" s="3"/>
      <c r="D67" s="3"/>
      <c r="E67" s="3"/>
      <c r="F67" s="120"/>
      <c r="G67" s="3"/>
      <c r="H67" s="3"/>
      <c r="I67" s="3"/>
      <c r="J67" s="120"/>
      <c r="K67" s="120"/>
      <c r="L67" s="3"/>
      <c r="M67" s="376"/>
      <c r="N67" s="3"/>
      <c r="O67" s="3"/>
      <c r="P67" s="3"/>
      <c r="Q67" s="3"/>
      <c r="R67" s="3"/>
      <c r="S67" s="3"/>
      <c r="T67" s="3"/>
      <c r="U67" s="698" t="s">
        <v>140</v>
      </c>
      <c r="V67" s="698"/>
      <c r="W67" s="698"/>
      <c r="X67" s="698"/>
      <c r="Y67" s="380">
        <v>62.68</v>
      </c>
      <c r="Z67" s="3"/>
      <c r="AA67" s="3"/>
      <c r="AB67" s="3"/>
      <c r="AC67" s="3"/>
      <c r="AD67" s="4"/>
    </row>
    <row r="68" spans="1:30" x14ac:dyDescent="0.25">
      <c r="A68" s="1"/>
      <c r="B68" s="134"/>
      <c r="C68" s="3"/>
      <c r="D68" s="3"/>
      <c r="E68" s="3"/>
      <c r="F68" s="119"/>
      <c r="G68" s="119"/>
      <c r="H68" s="119"/>
      <c r="I68" s="126"/>
      <c r="J68" s="136"/>
      <c r="K68" s="136"/>
      <c r="L68" s="3"/>
      <c r="M68" s="376"/>
      <c r="N68" s="3"/>
      <c r="O68" s="3"/>
      <c r="P68" s="3"/>
      <c r="Q68" s="119"/>
      <c r="R68" s="3"/>
      <c r="S68" s="3"/>
      <c r="T68" s="3"/>
      <c r="U68" s="698" t="s">
        <v>141</v>
      </c>
      <c r="V68" s="698"/>
      <c r="W68" s="698"/>
      <c r="X68" s="698"/>
      <c r="Y68" s="477">
        <f>SUM(Y69:Y72)</f>
        <v>960</v>
      </c>
      <c r="Z68" s="3"/>
      <c r="AA68" s="3"/>
      <c r="AB68" s="3"/>
      <c r="AC68" s="3"/>
      <c r="AD68" s="4"/>
    </row>
    <row r="69" spans="1:30" x14ac:dyDescent="0.25">
      <c r="A69" s="1"/>
      <c r="B69" s="134"/>
      <c r="C69" s="3"/>
      <c r="D69" s="3"/>
      <c r="E69" s="3"/>
      <c r="F69" s="119"/>
      <c r="G69" s="119"/>
      <c r="H69" s="119"/>
      <c r="I69" s="126"/>
      <c r="J69" s="375"/>
      <c r="K69" s="375"/>
      <c r="L69" s="3"/>
      <c r="M69" s="376"/>
      <c r="N69" s="3"/>
      <c r="O69" s="3"/>
      <c r="P69" s="3"/>
      <c r="Q69" s="119"/>
      <c r="R69" s="3"/>
      <c r="S69" s="3"/>
      <c r="T69" s="3"/>
      <c r="U69" s="697" t="s">
        <v>142</v>
      </c>
      <c r="V69" s="697"/>
      <c r="W69" s="697"/>
      <c r="X69" s="697"/>
      <c r="Y69" s="380">
        <v>450</v>
      </c>
      <c r="Z69" s="3"/>
      <c r="AA69" s="3"/>
      <c r="AB69" s="3"/>
      <c r="AC69" s="3"/>
      <c r="AD69" s="4"/>
    </row>
    <row r="70" spans="1:30" x14ac:dyDescent="0.25">
      <c r="A70" s="1"/>
      <c r="B70" s="134"/>
      <c r="C70" s="3"/>
      <c r="D70" s="3"/>
      <c r="E70" s="3"/>
      <c r="F70" s="119"/>
      <c r="G70" s="119"/>
      <c r="H70" s="119"/>
      <c r="I70" s="126"/>
      <c r="J70" s="375"/>
      <c r="K70" s="375"/>
      <c r="L70" s="3"/>
      <c r="M70" s="376"/>
      <c r="N70" s="3"/>
      <c r="O70" s="3"/>
      <c r="P70" s="3"/>
      <c r="Q70" s="119"/>
      <c r="R70" s="3"/>
      <c r="S70" s="3"/>
      <c r="T70" s="3"/>
      <c r="U70" s="697" t="s">
        <v>143</v>
      </c>
      <c r="V70" s="697"/>
      <c r="W70" s="697"/>
      <c r="X70" s="697"/>
      <c r="Y70" s="380">
        <v>200</v>
      </c>
      <c r="Z70" s="3"/>
      <c r="AA70" s="3"/>
      <c r="AB70" s="3"/>
      <c r="AC70" s="3"/>
      <c r="AD70" s="4"/>
    </row>
    <row r="71" spans="1:30" x14ac:dyDescent="0.25">
      <c r="A71" s="1"/>
      <c r="B71" s="134"/>
      <c r="C71" s="3"/>
      <c r="D71" s="3"/>
      <c r="E71" s="3"/>
      <c r="F71" s="119"/>
      <c r="G71" s="119"/>
      <c r="H71" s="119"/>
      <c r="I71" s="126"/>
      <c r="J71" s="375"/>
      <c r="K71" s="375"/>
      <c r="L71" s="3"/>
      <c r="M71" s="376"/>
      <c r="N71" s="3"/>
      <c r="O71" s="3"/>
      <c r="P71" s="3"/>
      <c r="Q71" s="119"/>
      <c r="R71" s="3"/>
      <c r="S71" s="3"/>
      <c r="T71" s="3"/>
      <c r="U71" s="697" t="s">
        <v>144</v>
      </c>
      <c r="V71" s="697"/>
      <c r="W71" s="697"/>
      <c r="X71" s="697"/>
      <c r="Y71" s="380">
        <v>50</v>
      </c>
      <c r="Z71" s="3"/>
      <c r="AA71" s="3"/>
      <c r="AB71" s="3"/>
      <c r="AC71" s="3"/>
      <c r="AD71" s="4"/>
    </row>
    <row r="72" spans="1:30" x14ac:dyDescent="0.25">
      <c r="A72" s="1"/>
      <c r="B72" s="134"/>
      <c r="C72" s="3"/>
      <c r="D72" s="3"/>
      <c r="E72" s="3"/>
      <c r="F72" s="119"/>
      <c r="G72" s="119"/>
      <c r="H72" s="119"/>
      <c r="I72" s="126"/>
      <c r="J72" s="375"/>
      <c r="K72" s="375"/>
      <c r="L72" s="3"/>
      <c r="M72" s="376"/>
      <c r="N72" s="3"/>
      <c r="O72" s="3"/>
      <c r="P72" s="3"/>
      <c r="Q72" s="119"/>
      <c r="R72" s="3"/>
      <c r="S72" s="3"/>
      <c r="T72" s="3"/>
      <c r="U72" s="697" t="s">
        <v>145</v>
      </c>
      <c r="V72" s="697"/>
      <c r="W72" s="697"/>
      <c r="X72" s="697"/>
      <c r="Y72" s="380">
        <v>260</v>
      </c>
      <c r="Z72" s="3"/>
      <c r="AA72" s="3"/>
      <c r="AB72" s="3"/>
      <c r="AC72" s="3"/>
      <c r="AD72" s="4"/>
    </row>
    <row r="73" spans="1:30" x14ac:dyDescent="0.25">
      <c r="A73" s="1"/>
      <c r="B73" s="134"/>
      <c r="C73" s="383"/>
      <c r="D73" s="119"/>
      <c r="E73" s="119"/>
      <c r="F73" s="119"/>
      <c r="G73" s="119"/>
      <c r="H73" s="119"/>
      <c r="I73" s="126"/>
      <c r="J73" s="119"/>
      <c r="K73" s="119"/>
      <c r="L73" s="3"/>
      <c r="M73" s="376"/>
      <c r="N73" s="3"/>
      <c r="O73" s="3"/>
      <c r="P73" s="3"/>
      <c r="Q73" s="384"/>
      <c r="R73" s="3"/>
      <c r="S73" s="3"/>
      <c r="T73" s="3"/>
      <c r="U73" s="126"/>
      <c r="V73" s="126"/>
      <c r="W73" s="126"/>
      <c r="X73" s="119"/>
      <c r="Y73" s="119">
        <f>SUM(Y64:Y68)</f>
        <v>9409.7800000000007</v>
      </c>
      <c r="Z73" s="3"/>
      <c r="AA73" s="3"/>
      <c r="AB73" s="3"/>
      <c r="AC73" s="3"/>
      <c r="AD73" s="4"/>
    </row>
    <row r="74" spans="1:30" x14ac:dyDescent="0.25">
      <c r="A74" s="1"/>
      <c r="B74" s="134"/>
      <c r="C74" s="117"/>
      <c r="D74" s="119"/>
      <c r="E74" s="119"/>
      <c r="F74" s="119"/>
      <c r="G74" s="119"/>
      <c r="H74" s="119"/>
      <c r="I74" s="126"/>
      <c r="J74" s="119"/>
      <c r="K74" s="119"/>
      <c r="L74" s="119"/>
      <c r="M74" s="119"/>
      <c r="N74" s="119"/>
      <c r="O74" s="126"/>
      <c r="P74" s="119"/>
      <c r="Q74" s="119"/>
      <c r="R74" s="119"/>
      <c r="S74" s="126"/>
      <c r="T74" s="126"/>
      <c r="U74" s="126"/>
      <c r="V74" s="119"/>
      <c r="W74" s="119"/>
      <c r="X74" s="119"/>
      <c r="Y74" s="3"/>
      <c r="Z74" s="3"/>
      <c r="AA74" s="3"/>
      <c r="AB74" s="3"/>
      <c r="AC74" s="3"/>
      <c r="AD74" s="3"/>
    </row>
    <row r="75" spans="1:30" x14ac:dyDescent="0.25">
      <c r="A75" s="1"/>
      <c r="B75" s="144" t="s">
        <v>103</v>
      </c>
      <c r="C75" s="145"/>
      <c r="D75" s="585"/>
      <c r="E75" s="585"/>
      <c r="F75" s="585"/>
      <c r="G75" s="585"/>
      <c r="H75" s="585"/>
      <c r="I75" s="585"/>
      <c r="J75" s="585"/>
      <c r="K75" s="585"/>
      <c r="L75" s="585"/>
      <c r="M75" s="585"/>
      <c r="N75" s="585"/>
      <c r="O75" s="585"/>
      <c r="P75" s="585"/>
      <c r="Q75" s="585"/>
      <c r="R75" s="585"/>
      <c r="S75" s="585"/>
      <c r="T75" s="585"/>
      <c r="U75" s="585"/>
      <c r="V75" s="146"/>
      <c r="W75" s="146"/>
      <c r="X75" s="146"/>
      <c r="Y75" s="146"/>
      <c r="Z75" s="146"/>
      <c r="AA75" s="146"/>
      <c r="AB75" s="147"/>
      <c r="AC75" s="3"/>
      <c r="AD75" s="3"/>
    </row>
    <row r="76" spans="1:30" x14ac:dyDescent="0.25">
      <c r="A76" s="1"/>
      <c r="B76" s="148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49"/>
      <c r="AC76" s="3"/>
      <c r="AD76" s="3"/>
    </row>
    <row r="77" spans="1:30" x14ac:dyDescent="0.25">
      <c r="A77" s="1"/>
      <c r="B77" s="575" t="s">
        <v>302</v>
      </c>
      <c r="C77" s="576"/>
      <c r="D77" s="576"/>
      <c r="E77" s="576"/>
      <c r="F77" s="576"/>
      <c r="G77" s="576"/>
      <c r="H77" s="576"/>
      <c r="I77" s="576"/>
      <c r="J77" s="576"/>
      <c r="K77" s="576"/>
      <c r="L77" s="576"/>
      <c r="M77" s="576"/>
      <c r="N77" s="576"/>
      <c r="O77" s="576"/>
      <c r="P77" s="576"/>
      <c r="Q77" s="576"/>
      <c r="R77" s="576"/>
      <c r="S77" s="576"/>
      <c r="T77" s="576"/>
      <c r="U77" s="576"/>
      <c r="V77" s="121"/>
      <c r="W77" s="121"/>
      <c r="X77" s="121"/>
      <c r="Y77" s="121"/>
      <c r="Z77" s="121"/>
      <c r="AA77" s="121"/>
      <c r="AB77" s="149"/>
      <c r="AC77" s="3"/>
      <c r="AD77" s="3"/>
    </row>
    <row r="78" spans="1:30" x14ac:dyDescent="0.25">
      <c r="A78" s="1"/>
      <c r="B78" s="575"/>
      <c r="C78" s="576"/>
      <c r="D78" s="576"/>
      <c r="E78" s="576"/>
      <c r="F78" s="576"/>
      <c r="G78" s="576"/>
      <c r="H78" s="576"/>
      <c r="I78" s="576"/>
      <c r="J78" s="576"/>
      <c r="K78" s="576"/>
      <c r="L78" s="576"/>
      <c r="M78" s="576"/>
      <c r="N78" s="576"/>
      <c r="O78" s="576"/>
      <c r="P78" s="576"/>
      <c r="Q78" s="576"/>
      <c r="R78" s="576"/>
      <c r="S78" s="576"/>
      <c r="T78" s="576"/>
      <c r="U78" s="576"/>
      <c r="V78" s="121"/>
      <c r="W78" s="121"/>
      <c r="X78" s="121"/>
      <c r="Y78" s="121"/>
      <c r="Z78" s="121"/>
      <c r="AA78" s="121"/>
      <c r="AB78" s="149"/>
      <c r="AC78" s="3"/>
      <c r="AD78" s="3"/>
    </row>
    <row r="79" spans="1:30" x14ac:dyDescent="0.25">
      <c r="A79" s="1"/>
      <c r="B79" s="575"/>
      <c r="C79" s="576"/>
      <c r="D79" s="576"/>
      <c r="E79" s="576"/>
      <c r="F79" s="576"/>
      <c r="G79" s="576"/>
      <c r="H79" s="576"/>
      <c r="I79" s="576"/>
      <c r="J79" s="576"/>
      <c r="K79" s="576"/>
      <c r="L79" s="576"/>
      <c r="M79" s="576"/>
      <c r="N79" s="576"/>
      <c r="O79" s="576"/>
      <c r="P79" s="576"/>
      <c r="Q79" s="576"/>
      <c r="R79" s="576"/>
      <c r="S79" s="576"/>
      <c r="T79" s="576"/>
      <c r="U79" s="576"/>
      <c r="V79" s="121"/>
      <c r="W79" s="121"/>
      <c r="X79" s="121"/>
      <c r="Y79" s="121"/>
      <c r="Z79" s="121"/>
      <c r="AA79" s="121"/>
      <c r="AB79" s="149"/>
      <c r="AC79" s="3"/>
      <c r="AD79" s="3"/>
    </row>
    <row r="80" spans="1:30" x14ac:dyDescent="0.25">
      <c r="A80" s="1"/>
      <c r="B80" s="150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21"/>
      <c r="W80" s="121"/>
      <c r="X80" s="121"/>
      <c r="Y80" s="121"/>
      <c r="Z80" s="121"/>
      <c r="AA80" s="121"/>
      <c r="AB80" s="149"/>
      <c r="AC80" s="3"/>
      <c r="AD80" s="3"/>
    </row>
    <row r="81" spans="1:30" x14ac:dyDescent="0.25">
      <c r="A81" s="1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21"/>
      <c r="W81" s="121"/>
      <c r="X81" s="121"/>
      <c r="Y81" s="121"/>
      <c r="Z81" s="121"/>
      <c r="AA81" s="121"/>
      <c r="AB81" s="149"/>
      <c r="AC81" s="3"/>
      <c r="AD81" s="3"/>
    </row>
    <row r="82" spans="1:30" x14ac:dyDescent="0.25">
      <c r="A82" s="1"/>
      <c r="B82" s="150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21"/>
      <c r="W82" s="121"/>
      <c r="X82" s="121"/>
      <c r="Y82" s="121"/>
      <c r="Z82" s="121"/>
      <c r="AA82" s="121"/>
      <c r="AB82" s="149"/>
      <c r="AC82" s="3"/>
      <c r="AD82" s="3"/>
    </row>
    <row r="83" spans="1:30" x14ac:dyDescent="0.25">
      <c r="A83" s="1"/>
      <c r="B83" s="150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21"/>
      <c r="W83" s="121"/>
      <c r="X83" s="121"/>
      <c r="Y83" s="121"/>
      <c r="Z83" s="121"/>
      <c r="AA83" s="121"/>
      <c r="AB83" s="149"/>
      <c r="AC83" s="3"/>
      <c r="AD83" s="3"/>
    </row>
    <row r="84" spans="1:30" x14ac:dyDescent="0.25">
      <c r="A84" s="1"/>
      <c r="B84" s="150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21"/>
      <c r="W84" s="121"/>
      <c r="X84" s="121"/>
      <c r="Y84" s="121"/>
      <c r="Z84" s="121"/>
      <c r="AA84" s="121"/>
      <c r="AB84" s="149"/>
      <c r="AC84" s="3"/>
      <c r="AD84" s="3"/>
    </row>
    <row r="85" spans="1:30" x14ac:dyDescent="0.25">
      <c r="A85" s="1"/>
      <c r="B85" s="150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21"/>
      <c r="W85" s="121"/>
      <c r="X85" s="121"/>
      <c r="Y85" s="121"/>
      <c r="Z85" s="121"/>
      <c r="AA85" s="121"/>
      <c r="AB85" s="149"/>
      <c r="AC85" s="3"/>
      <c r="AD85" s="3"/>
    </row>
    <row r="86" spans="1:30" x14ac:dyDescent="0.25">
      <c r="A86" s="1"/>
      <c r="B86" s="150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21"/>
      <c r="W86" s="121"/>
      <c r="X86" s="121"/>
      <c r="Y86" s="121"/>
      <c r="Z86" s="121"/>
      <c r="AA86" s="121"/>
      <c r="AB86" s="149"/>
      <c r="AC86" s="3"/>
      <c r="AD86" s="3"/>
    </row>
    <row r="87" spans="1:30" x14ac:dyDescent="0.25">
      <c r="A87" s="1"/>
      <c r="B87" s="150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21"/>
      <c r="W87" s="121"/>
      <c r="X87" s="121"/>
      <c r="Y87" s="121"/>
      <c r="Z87" s="121"/>
      <c r="AA87" s="121"/>
      <c r="AB87" s="149"/>
      <c r="AC87" s="3"/>
      <c r="AD87" s="3"/>
    </row>
    <row r="88" spans="1:30" x14ac:dyDescent="0.25">
      <c r="A88" s="1"/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21"/>
      <c r="W88" s="121"/>
      <c r="X88" s="121"/>
      <c r="Y88" s="121"/>
      <c r="Z88" s="121"/>
      <c r="AA88" s="121"/>
      <c r="AB88" s="149"/>
      <c r="AC88" s="3"/>
      <c r="AD88" s="3"/>
    </row>
    <row r="89" spans="1:30" x14ac:dyDescent="0.25">
      <c r="A89" s="1"/>
      <c r="B89" s="150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21"/>
      <c r="W89" s="121"/>
      <c r="X89" s="121"/>
      <c r="Y89" s="121"/>
      <c r="Z89" s="121"/>
      <c r="AA89" s="121"/>
      <c r="AB89" s="149"/>
      <c r="AC89" s="3"/>
      <c r="AD89" s="3"/>
    </row>
    <row r="90" spans="1:30" x14ac:dyDescent="0.25">
      <c r="A90" s="1"/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21"/>
      <c r="W90" s="121"/>
      <c r="X90" s="121"/>
      <c r="Y90" s="121"/>
      <c r="Z90" s="121"/>
      <c r="AA90" s="121"/>
      <c r="AB90" s="149"/>
      <c r="AC90" s="3"/>
      <c r="AD90" s="3"/>
    </row>
    <row r="91" spans="1:30" x14ac:dyDescent="0.25">
      <c r="A91" s="1"/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21"/>
      <c r="W91" s="121"/>
      <c r="X91" s="121"/>
      <c r="Y91" s="121"/>
      <c r="Z91" s="121"/>
      <c r="AA91" s="121"/>
      <c r="AB91" s="149"/>
      <c r="AC91" s="3"/>
      <c r="AD91" s="3"/>
    </row>
    <row r="92" spans="1:30" x14ac:dyDescent="0.25">
      <c r="A92" s="1"/>
      <c r="B92" s="158"/>
      <c r="C92" s="159"/>
      <c r="D92" s="160"/>
      <c r="E92" s="160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2"/>
      <c r="W92" s="162"/>
      <c r="X92" s="162"/>
      <c r="Y92" s="162"/>
      <c r="Z92" s="162"/>
      <c r="AA92" s="162"/>
      <c r="AB92" s="163"/>
      <c r="AC92" s="3"/>
      <c r="AD92" s="3"/>
    </row>
    <row r="93" spans="1:30" x14ac:dyDescent="0.25">
      <c r="A93" s="115"/>
      <c r="B93" s="164"/>
      <c r="C93" s="165"/>
      <c r="D93" s="164"/>
      <c r="E93" s="164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15"/>
      <c r="B94" s="164"/>
      <c r="C94" s="165"/>
      <c r="D94" s="164"/>
      <c r="E94" s="164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167" t="s">
        <v>104</v>
      </c>
      <c r="C96" s="168">
        <v>45919</v>
      </c>
      <c r="D96" s="167" t="s">
        <v>105</v>
      </c>
      <c r="E96" s="576" t="s">
        <v>303</v>
      </c>
      <c r="F96" s="576"/>
      <c r="G96" s="576"/>
      <c r="H96" s="167"/>
      <c r="I96" s="167" t="s">
        <v>107</v>
      </c>
      <c r="J96" s="577" t="s">
        <v>304</v>
      </c>
      <c r="K96" s="577"/>
      <c r="L96" s="577"/>
      <c r="M96" s="577"/>
      <c r="N96" s="167"/>
      <c r="O96" s="167"/>
      <c r="P96" s="167"/>
      <c r="Q96" s="167"/>
      <c r="R96" s="167"/>
      <c r="S96" s="167"/>
      <c r="T96" s="167"/>
      <c r="U96" s="167"/>
      <c r="V96" s="3"/>
      <c r="W96" s="3"/>
      <c r="X96" s="3"/>
      <c r="Y96" s="3"/>
      <c r="Z96" s="3"/>
      <c r="AA96" s="3"/>
      <c r="AB96" s="3"/>
      <c r="AC96" s="3"/>
      <c r="AD96" s="3"/>
    </row>
    <row r="97" spans="1:30" ht="7.5" customHeight="1" x14ac:dyDescent="0.25">
      <c r="A97" s="1"/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1"/>
      <c r="B98" s="167"/>
      <c r="C98" s="167"/>
      <c r="D98" s="167" t="s">
        <v>109</v>
      </c>
      <c r="E98" s="169"/>
      <c r="F98" s="169"/>
      <c r="G98" s="169"/>
      <c r="H98" s="167"/>
      <c r="I98" s="167" t="s">
        <v>109</v>
      </c>
      <c r="J98" s="170"/>
      <c r="K98" s="170"/>
      <c r="L98" s="170"/>
      <c r="M98" s="170"/>
      <c r="N98" s="167"/>
      <c r="O98" s="167"/>
      <c r="P98" s="167"/>
      <c r="Q98" s="167"/>
      <c r="R98" s="167"/>
      <c r="S98" s="167"/>
      <c r="T98" s="167"/>
      <c r="U98" s="167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1"/>
      <c r="B99" s="167"/>
      <c r="C99" s="167"/>
      <c r="D99" s="167"/>
      <c r="E99" s="169"/>
      <c r="F99" s="169"/>
      <c r="G99" s="169"/>
      <c r="H99" s="167"/>
      <c r="I99" s="167"/>
      <c r="J99" s="170"/>
      <c r="K99" s="170"/>
      <c r="L99" s="170"/>
      <c r="M99" s="170"/>
      <c r="N99" s="167"/>
      <c r="O99" s="167"/>
      <c r="P99" s="167"/>
      <c r="Q99" s="167"/>
      <c r="R99" s="167"/>
      <c r="S99" s="167"/>
      <c r="T99" s="167"/>
      <c r="U99" s="167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1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1"/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idden="1" x14ac:dyDescent="0.25">
      <c r="AC102" s="4"/>
      <c r="AD102" s="4"/>
    </row>
    <row r="103" spans="1:30" hidden="1" x14ac:dyDescent="0.25"/>
    <row r="104" spans="1:30" hidden="1" x14ac:dyDescent="0.25"/>
    <row r="105" spans="1:30" hidden="1" x14ac:dyDescent="0.25"/>
    <row r="106" spans="1:30" hidden="1" x14ac:dyDescent="0.25"/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t="15" hidden="1" customHeight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t="15" hidden="1" customHeight="1" x14ac:dyDescent="0.25"/>
    <row r="133" ht="15" hidden="1" customHeight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</sheetData>
  <mergeCells count="79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6:AB28"/>
    <mergeCell ref="J27:L27"/>
    <mergeCell ref="M27:M28"/>
    <mergeCell ref="N27:N28"/>
    <mergeCell ref="O27:O28"/>
    <mergeCell ref="AA13:AA14"/>
    <mergeCell ref="D26:I26"/>
    <mergeCell ref="J26:O26"/>
    <mergeCell ref="P26:U26"/>
    <mergeCell ref="V26:AA26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27:B28"/>
    <mergeCell ref="C27:C28"/>
    <mergeCell ref="D27:F27"/>
    <mergeCell ref="G27:G28"/>
    <mergeCell ref="H27:H28"/>
    <mergeCell ref="U65:X65"/>
    <mergeCell ref="Z27:Z28"/>
    <mergeCell ref="AA27:AA28"/>
    <mergeCell ref="C44:C45"/>
    <mergeCell ref="C47:C48"/>
    <mergeCell ref="V57:X57"/>
    <mergeCell ref="V58:X58"/>
    <mergeCell ref="P27:R27"/>
    <mergeCell ref="S27:S28"/>
    <mergeCell ref="T27:T28"/>
    <mergeCell ref="U27:U28"/>
    <mergeCell ref="V27:X27"/>
    <mergeCell ref="Y27:Y28"/>
    <mergeCell ref="I27:I28"/>
    <mergeCell ref="V59:X59"/>
    <mergeCell ref="D61:E61"/>
    <mergeCell ref="V61:X61"/>
    <mergeCell ref="U63:X63"/>
    <mergeCell ref="U64:X64"/>
    <mergeCell ref="E96:G96"/>
    <mergeCell ref="J96:M96"/>
    <mergeCell ref="U66:X66"/>
    <mergeCell ref="U67:X67"/>
    <mergeCell ref="U68:X68"/>
    <mergeCell ref="U69:X69"/>
    <mergeCell ref="U70:X70"/>
    <mergeCell ref="U71:X71"/>
    <mergeCell ref="U72:X72"/>
    <mergeCell ref="D75:U75"/>
    <mergeCell ref="B77:U77"/>
    <mergeCell ref="B78:U78"/>
    <mergeCell ref="B79:U79"/>
  </mergeCells>
  <conditionalFormatting sqref="AB15:AB26 AB29:AB42">
    <cfRule type="cellIs" dxfId="7" priority="1" operator="equal">
      <formula>0</formula>
    </cfRule>
    <cfRule type="containsErrors" dxfId="6" priority="2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tabColor rgb="FFFF0000"/>
    <pageSetUpPr fitToPage="1"/>
  </sheetPr>
  <dimension ref="A1:AD301"/>
  <sheetViews>
    <sheetView showGridLines="0" zoomScaleNormal="100" zoomScaleSheetLayoutView="80" workbookViewId="0">
      <selection activeCell="R65" sqref="R65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7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8.85546875" customWidth="1"/>
    <col min="27" max="27" width="33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305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24" t="s">
        <v>306</v>
      </c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328">
        <v>831476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7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5</v>
      </c>
      <c r="C8" s="1"/>
      <c r="D8" s="717" t="s">
        <v>307</v>
      </c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5"/>
      <c r="U8" s="625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626" t="s">
        <v>7</v>
      </c>
      <c r="C10" s="592" t="s">
        <v>8</v>
      </c>
      <c r="D10" s="631" t="s">
        <v>9</v>
      </c>
      <c r="E10" s="632"/>
      <c r="F10" s="632"/>
      <c r="G10" s="632"/>
      <c r="H10" s="632"/>
      <c r="I10" s="633"/>
      <c r="J10" s="631" t="s">
        <v>166</v>
      </c>
      <c r="K10" s="632"/>
      <c r="L10" s="632"/>
      <c r="M10" s="632"/>
      <c r="N10" s="632"/>
      <c r="O10" s="633"/>
      <c r="P10" s="631" t="s">
        <v>11</v>
      </c>
      <c r="Q10" s="632"/>
      <c r="R10" s="632"/>
      <c r="S10" s="632"/>
      <c r="T10" s="632"/>
      <c r="U10" s="633"/>
      <c r="V10" s="631" t="s">
        <v>12</v>
      </c>
      <c r="W10" s="632"/>
      <c r="X10" s="632"/>
      <c r="Y10" s="632"/>
      <c r="Z10" s="632"/>
      <c r="AA10" s="633"/>
      <c r="AB10" s="615" t="s">
        <v>13</v>
      </c>
      <c r="AC10" s="3"/>
      <c r="AD10" s="3"/>
    </row>
    <row r="11" spans="1:30" ht="30.75" customHeight="1" thickBot="1" x14ac:dyDescent="0.3">
      <c r="A11" s="1"/>
      <c r="B11" s="627"/>
      <c r="C11" s="593"/>
      <c r="D11" s="618" t="s">
        <v>14</v>
      </c>
      <c r="E11" s="619"/>
      <c r="F11" s="619"/>
      <c r="G11" s="620"/>
      <c r="H11" s="8" t="s">
        <v>15</v>
      </c>
      <c r="I11" s="8" t="s">
        <v>16</v>
      </c>
      <c r="J11" s="618" t="s">
        <v>14</v>
      </c>
      <c r="K11" s="619"/>
      <c r="L11" s="619"/>
      <c r="M11" s="620"/>
      <c r="N11" s="8" t="s">
        <v>15</v>
      </c>
      <c r="O11" s="8" t="s">
        <v>16</v>
      </c>
      <c r="P11" s="618" t="s">
        <v>14</v>
      </c>
      <c r="Q11" s="619"/>
      <c r="R11" s="619"/>
      <c r="S11" s="620"/>
      <c r="T11" s="8" t="s">
        <v>15</v>
      </c>
      <c r="U11" s="8" t="s">
        <v>16</v>
      </c>
      <c r="V11" s="618" t="s">
        <v>14</v>
      </c>
      <c r="W11" s="619"/>
      <c r="X11" s="619"/>
      <c r="Y11" s="620"/>
      <c r="Z11" s="8" t="s">
        <v>15</v>
      </c>
      <c r="AA11" s="8" t="s">
        <v>16</v>
      </c>
      <c r="AB11" s="616"/>
      <c r="AC11" s="3"/>
      <c r="AD11" s="3"/>
    </row>
    <row r="12" spans="1:30" ht="15.75" customHeight="1" thickBot="1" x14ac:dyDescent="0.3">
      <c r="A12" s="1"/>
      <c r="B12" s="627"/>
      <c r="C12" s="629"/>
      <c r="D12" s="621" t="s">
        <v>17</v>
      </c>
      <c r="E12" s="622"/>
      <c r="F12" s="622"/>
      <c r="G12" s="622"/>
      <c r="H12" s="622"/>
      <c r="I12" s="623"/>
      <c r="J12" s="621" t="s">
        <v>17</v>
      </c>
      <c r="K12" s="622"/>
      <c r="L12" s="622"/>
      <c r="M12" s="622"/>
      <c r="N12" s="622"/>
      <c r="O12" s="623"/>
      <c r="P12" s="621" t="s">
        <v>17</v>
      </c>
      <c r="Q12" s="622"/>
      <c r="R12" s="622"/>
      <c r="S12" s="622"/>
      <c r="T12" s="622"/>
      <c r="U12" s="623"/>
      <c r="V12" s="621" t="s">
        <v>17</v>
      </c>
      <c r="W12" s="622"/>
      <c r="X12" s="622"/>
      <c r="Y12" s="622"/>
      <c r="Z12" s="622"/>
      <c r="AA12" s="623"/>
      <c r="AB12" s="616"/>
      <c r="AC12" s="3"/>
      <c r="AD12" s="3"/>
    </row>
    <row r="13" spans="1:30" ht="15.75" customHeight="1" thickBot="1" x14ac:dyDescent="0.3">
      <c r="A13" s="1"/>
      <c r="B13" s="628"/>
      <c r="C13" s="630"/>
      <c r="D13" s="613" t="s">
        <v>18</v>
      </c>
      <c r="E13" s="614"/>
      <c r="F13" s="614"/>
      <c r="G13" s="609" t="s">
        <v>19</v>
      </c>
      <c r="H13" s="611" t="s">
        <v>20</v>
      </c>
      <c r="I13" s="594" t="s">
        <v>17</v>
      </c>
      <c r="J13" s="613" t="s">
        <v>18</v>
      </c>
      <c r="K13" s="614"/>
      <c r="L13" s="614"/>
      <c r="M13" s="609" t="s">
        <v>19</v>
      </c>
      <c r="N13" s="611" t="s">
        <v>20</v>
      </c>
      <c r="O13" s="594" t="s">
        <v>17</v>
      </c>
      <c r="P13" s="613" t="s">
        <v>18</v>
      </c>
      <c r="Q13" s="614"/>
      <c r="R13" s="614"/>
      <c r="S13" s="609" t="s">
        <v>19</v>
      </c>
      <c r="T13" s="611" t="s">
        <v>20</v>
      </c>
      <c r="U13" s="594" t="s">
        <v>17</v>
      </c>
      <c r="V13" s="613" t="s">
        <v>18</v>
      </c>
      <c r="W13" s="614"/>
      <c r="X13" s="614"/>
      <c r="Y13" s="609" t="s">
        <v>19</v>
      </c>
      <c r="Z13" s="611" t="s">
        <v>20</v>
      </c>
      <c r="AA13" s="594" t="s">
        <v>17</v>
      </c>
      <c r="AB13" s="616"/>
      <c r="AC13" s="3"/>
      <c r="AD13" s="3"/>
    </row>
    <row r="14" spans="1:30" ht="15.75" thickBot="1" x14ac:dyDescent="0.3">
      <c r="A14" s="1"/>
      <c r="B14" s="9"/>
      <c r="C14" s="10"/>
      <c r="D14" s="11" t="s">
        <v>21</v>
      </c>
      <c r="E14" s="12" t="s">
        <v>22</v>
      </c>
      <c r="F14" s="12" t="s">
        <v>23</v>
      </c>
      <c r="G14" s="610"/>
      <c r="H14" s="612"/>
      <c r="I14" s="595"/>
      <c r="J14" s="11" t="s">
        <v>21</v>
      </c>
      <c r="K14" s="12" t="s">
        <v>22</v>
      </c>
      <c r="L14" s="12" t="s">
        <v>23</v>
      </c>
      <c r="M14" s="610"/>
      <c r="N14" s="612"/>
      <c r="O14" s="595"/>
      <c r="P14" s="11" t="s">
        <v>21</v>
      </c>
      <c r="Q14" s="12" t="s">
        <v>22</v>
      </c>
      <c r="R14" s="12" t="s">
        <v>23</v>
      </c>
      <c r="S14" s="610"/>
      <c r="T14" s="612"/>
      <c r="U14" s="595"/>
      <c r="V14" s="11" t="s">
        <v>21</v>
      </c>
      <c r="W14" s="12" t="s">
        <v>22</v>
      </c>
      <c r="X14" s="12" t="s">
        <v>23</v>
      </c>
      <c r="Y14" s="610"/>
      <c r="Z14" s="612"/>
      <c r="AA14" s="595"/>
      <c r="AB14" s="617"/>
      <c r="AC14" s="3"/>
      <c r="AD14" s="3"/>
    </row>
    <row r="15" spans="1:30" x14ac:dyDescent="0.25">
      <c r="A15" s="1"/>
      <c r="B15" s="13" t="s">
        <v>24</v>
      </c>
      <c r="C15" s="14" t="s">
        <v>25</v>
      </c>
      <c r="D15" s="15"/>
      <c r="E15" s="16"/>
      <c r="F15" s="17">
        <v>1012</v>
      </c>
      <c r="G15" s="18">
        <f>SUM(D15:F15)</f>
        <v>1012</v>
      </c>
      <c r="H15" s="19">
        <v>230.5</v>
      </c>
      <c r="I15" s="20">
        <f>G15+H15</f>
        <v>1242.5</v>
      </c>
      <c r="J15" s="15"/>
      <c r="K15" s="16"/>
      <c r="L15" s="17">
        <v>1700</v>
      </c>
      <c r="M15" s="331">
        <f t="shared" ref="M15:M24" si="0">SUM(J15:L15)</f>
        <v>1700</v>
      </c>
      <c r="N15" s="19">
        <v>210</v>
      </c>
      <c r="O15" s="333">
        <f>M15+N15</f>
        <v>1910</v>
      </c>
      <c r="P15" s="15"/>
      <c r="Q15" s="16"/>
      <c r="R15" s="334">
        <v>593.6</v>
      </c>
      <c r="S15" s="18">
        <f>SUM(P15:R15)</f>
        <v>593.6</v>
      </c>
      <c r="T15" s="19">
        <v>158.4</v>
      </c>
      <c r="U15" s="20">
        <f>S15+T15</f>
        <v>752</v>
      </c>
      <c r="V15" s="15"/>
      <c r="W15" s="16"/>
      <c r="X15" s="17">
        <v>1500</v>
      </c>
      <c r="Y15" s="18">
        <f>SUM(V15:X15)</f>
        <v>1500</v>
      </c>
      <c r="Z15" s="19">
        <v>220</v>
      </c>
      <c r="AA15" s="20">
        <f>Y15+Z15</f>
        <v>1720</v>
      </c>
      <c r="AB15" s="21">
        <f>(AA15/O15)</f>
        <v>0.90052356020942403</v>
      </c>
      <c r="AC15" s="3"/>
      <c r="AD15" s="3"/>
    </row>
    <row r="16" spans="1:30" x14ac:dyDescent="0.25">
      <c r="A16" s="1"/>
      <c r="B16" s="22" t="s">
        <v>26</v>
      </c>
      <c r="C16" s="23" t="s">
        <v>123</v>
      </c>
      <c r="D16" s="24">
        <v>6141.3</v>
      </c>
      <c r="E16" s="25"/>
      <c r="F16" s="25"/>
      <c r="G16" s="26">
        <f t="shared" ref="G16:G24" si="1">SUM(D16:F16)</f>
        <v>6141.3</v>
      </c>
      <c r="H16" s="27"/>
      <c r="I16" s="20">
        <f t="shared" ref="I16:I24" si="2">G16+H16</f>
        <v>6141.3</v>
      </c>
      <c r="J16" s="24">
        <v>6141.3</v>
      </c>
      <c r="K16" s="25"/>
      <c r="L16" s="25"/>
      <c r="M16" s="336">
        <f t="shared" si="0"/>
        <v>6141.3</v>
      </c>
      <c r="N16" s="27"/>
      <c r="O16" s="333">
        <f t="shared" ref="O16:O21" si="3">M16+N16</f>
        <v>6141.3</v>
      </c>
      <c r="P16" s="24">
        <v>3350.9</v>
      </c>
      <c r="Q16" s="338"/>
      <c r="R16" s="25"/>
      <c r="S16" s="26">
        <f t="shared" ref="S16:S24" si="4">SUM(P16:R16)</f>
        <v>3350.9</v>
      </c>
      <c r="T16" s="27"/>
      <c r="U16" s="20">
        <f t="shared" ref="U16:U21" si="5">S16+T16</f>
        <v>3350.9</v>
      </c>
      <c r="V16" s="24">
        <v>6863.2</v>
      </c>
      <c r="W16" s="25"/>
      <c r="X16" s="25"/>
      <c r="Y16" s="26">
        <f t="shared" ref="Y16:Y24" si="6">SUM(V16:X16)</f>
        <v>6863.2</v>
      </c>
      <c r="Z16" s="27"/>
      <c r="AA16" s="20">
        <f t="shared" ref="AA16:AA21" si="7">Y16+Z16</f>
        <v>6863.2</v>
      </c>
      <c r="AB16" s="21">
        <f t="shared" ref="AB16:AB25" si="8">(AA16/O16)</f>
        <v>1.1175484018041781</v>
      </c>
      <c r="AC16" s="3"/>
      <c r="AD16" s="3"/>
    </row>
    <row r="17" spans="1:30" x14ac:dyDescent="0.25">
      <c r="A17" s="1"/>
      <c r="B17" s="22" t="s">
        <v>28</v>
      </c>
      <c r="C17" s="28" t="s">
        <v>124</v>
      </c>
      <c r="D17" s="29">
        <v>596.20000000000005</v>
      </c>
      <c r="E17" s="30"/>
      <c r="F17" s="30"/>
      <c r="G17" s="26">
        <f t="shared" si="1"/>
        <v>596.20000000000005</v>
      </c>
      <c r="H17" s="31"/>
      <c r="I17" s="20">
        <f t="shared" si="2"/>
        <v>596.20000000000005</v>
      </c>
      <c r="J17" s="29">
        <v>1962.3</v>
      </c>
      <c r="K17" s="30"/>
      <c r="L17" s="30"/>
      <c r="M17" s="336">
        <f t="shared" si="0"/>
        <v>1962.3</v>
      </c>
      <c r="N17" s="31"/>
      <c r="O17" s="333">
        <f t="shared" si="3"/>
        <v>1962.3</v>
      </c>
      <c r="P17" s="29">
        <v>117.3</v>
      </c>
      <c r="Q17" s="30"/>
      <c r="R17" s="30"/>
      <c r="S17" s="26">
        <f t="shared" si="4"/>
        <v>117.3</v>
      </c>
      <c r="T17" s="31"/>
      <c r="U17" s="20">
        <f t="shared" si="5"/>
        <v>117.3</v>
      </c>
      <c r="V17" s="29">
        <v>137.4</v>
      </c>
      <c r="W17" s="30"/>
      <c r="X17" s="30"/>
      <c r="Y17" s="26">
        <f t="shared" si="6"/>
        <v>137.4</v>
      </c>
      <c r="Z17" s="31"/>
      <c r="AA17" s="20">
        <f t="shared" si="7"/>
        <v>137.4</v>
      </c>
      <c r="AB17" s="21">
        <f t="shared" si="8"/>
        <v>7.0019874636905677E-2</v>
      </c>
      <c r="AC17" s="3"/>
      <c r="AD17" s="3"/>
    </row>
    <row r="18" spans="1:30" x14ac:dyDescent="0.25">
      <c r="A18" s="1"/>
      <c r="B18" s="22" t="s">
        <v>125</v>
      </c>
      <c r="C18" s="341" t="s">
        <v>126</v>
      </c>
      <c r="D18" s="29"/>
      <c r="E18" s="30"/>
      <c r="F18" s="30"/>
      <c r="G18" s="26">
        <f t="shared" si="1"/>
        <v>0</v>
      </c>
      <c r="H18" s="27"/>
      <c r="I18" s="20">
        <f t="shared" si="2"/>
        <v>0</v>
      </c>
      <c r="J18" s="342"/>
      <c r="K18" s="339"/>
      <c r="L18" s="339"/>
      <c r="M18" s="336">
        <f t="shared" si="0"/>
        <v>0</v>
      </c>
      <c r="N18" s="337"/>
      <c r="O18" s="333">
        <f t="shared" si="3"/>
        <v>0</v>
      </c>
      <c r="P18" s="29"/>
      <c r="Q18" s="30"/>
      <c r="R18" s="30"/>
      <c r="S18" s="26">
        <f t="shared" si="4"/>
        <v>0</v>
      </c>
      <c r="T18" s="27"/>
      <c r="U18" s="20">
        <f t="shared" si="5"/>
        <v>0</v>
      </c>
      <c r="V18" s="29">
        <v>8499.9</v>
      </c>
      <c r="W18" s="30"/>
      <c r="X18" s="30"/>
      <c r="Y18" s="26">
        <f t="shared" si="6"/>
        <v>8499.9</v>
      </c>
      <c r="Z18" s="27"/>
      <c r="AA18" s="20">
        <f t="shared" si="7"/>
        <v>8499.9</v>
      </c>
      <c r="AB18" s="21"/>
      <c r="AC18" s="3"/>
      <c r="AD18" s="3"/>
    </row>
    <row r="19" spans="1:30" x14ac:dyDescent="0.25">
      <c r="A19" s="1"/>
      <c r="B19" s="22" t="s">
        <v>30</v>
      </c>
      <c r="C19" s="32" t="s">
        <v>31</v>
      </c>
      <c r="D19" s="33"/>
      <c r="E19" s="34">
        <v>52361.9</v>
      </c>
      <c r="F19" s="30"/>
      <c r="G19" s="26">
        <f t="shared" si="1"/>
        <v>52361.9</v>
      </c>
      <c r="H19" s="19"/>
      <c r="I19" s="20">
        <f t="shared" si="2"/>
        <v>52361.9</v>
      </c>
      <c r="J19" s="33"/>
      <c r="K19" s="34">
        <v>42446.7</v>
      </c>
      <c r="L19" s="30"/>
      <c r="M19" s="336">
        <f t="shared" si="0"/>
        <v>42446.7</v>
      </c>
      <c r="N19" s="19"/>
      <c r="O19" s="333">
        <f t="shared" si="3"/>
        <v>42446.7</v>
      </c>
      <c r="P19" s="33"/>
      <c r="Q19" s="34">
        <v>25415.1</v>
      </c>
      <c r="R19" s="30"/>
      <c r="S19" s="26">
        <f t="shared" si="4"/>
        <v>25415.1</v>
      </c>
      <c r="T19" s="19"/>
      <c r="U19" s="20">
        <f t="shared" si="5"/>
        <v>25415.1</v>
      </c>
      <c r="V19" s="33"/>
      <c r="W19" s="34">
        <v>39970.5</v>
      </c>
      <c r="X19" s="30"/>
      <c r="Y19" s="26">
        <f t="shared" si="6"/>
        <v>39970.5</v>
      </c>
      <c r="Z19" s="19"/>
      <c r="AA19" s="20">
        <f t="shared" si="7"/>
        <v>39970.5</v>
      </c>
      <c r="AB19" s="21">
        <f t="shared" si="8"/>
        <v>0.94166330951522736</v>
      </c>
      <c r="AC19" s="3"/>
      <c r="AD19" s="3"/>
    </row>
    <row r="20" spans="1:30" x14ac:dyDescent="0.25">
      <c r="A20" s="1"/>
      <c r="B20" s="22" t="s">
        <v>32</v>
      </c>
      <c r="C20" s="35" t="s">
        <v>33</v>
      </c>
      <c r="D20" s="36"/>
      <c r="E20" s="30"/>
      <c r="F20" s="37">
        <v>562.70000000000005</v>
      </c>
      <c r="G20" s="26">
        <f t="shared" si="1"/>
        <v>562.70000000000005</v>
      </c>
      <c r="H20" s="38"/>
      <c r="I20" s="20">
        <f t="shared" si="2"/>
        <v>562.70000000000005</v>
      </c>
      <c r="J20" s="36"/>
      <c r="K20" s="30"/>
      <c r="L20" s="37">
        <v>339.8</v>
      </c>
      <c r="M20" s="336">
        <f t="shared" si="0"/>
        <v>339.8</v>
      </c>
      <c r="N20" s="38"/>
      <c r="O20" s="333">
        <f t="shared" si="3"/>
        <v>339.8</v>
      </c>
      <c r="P20" s="36"/>
      <c r="Q20" s="30"/>
      <c r="R20" s="37">
        <v>205</v>
      </c>
      <c r="S20" s="26">
        <f t="shared" si="4"/>
        <v>205</v>
      </c>
      <c r="T20" s="38"/>
      <c r="U20" s="20">
        <f t="shared" si="5"/>
        <v>205</v>
      </c>
      <c r="V20" s="36"/>
      <c r="W20" s="30"/>
      <c r="X20" s="37">
        <v>1163.7</v>
      </c>
      <c r="Y20" s="26">
        <f t="shared" si="6"/>
        <v>1163.7</v>
      </c>
      <c r="Z20" s="38"/>
      <c r="AA20" s="20">
        <f t="shared" si="7"/>
        <v>1163.7</v>
      </c>
      <c r="AB20" s="21">
        <f t="shared" si="8"/>
        <v>3.4246615656268395</v>
      </c>
      <c r="AC20" s="3"/>
      <c r="AD20" s="3"/>
    </row>
    <row r="21" spans="1:30" x14ac:dyDescent="0.25">
      <c r="A21" s="1"/>
      <c r="B21" s="22" t="s">
        <v>34</v>
      </c>
      <c r="C21" s="39" t="s">
        <v>35</v>
      </c>
      <c r="D21" s="33"/>
      <c r="E21" s="25"/>
      <c r="F21" s="40">
        <v>113.1</v>
      </c>
      <c r="G21" s="26">
        <f t="shared" si="1"/>
        <v>113.1</v>
      </c>
      <c r="H21" s="38"/>
      <c r="I21" s="20">
        <f t="shared" si="2"/>
        <v>113.1</v>
      </c>
      <c r="J21" s="33"/>
      <c r="K21" s="25"/>
      <c r="L21" s="40">
        <v>190</v>
      </c>
      <c r="M21" s="336">
        <f t="shared" si="0"/>
        <v>190</v>
      </c>
      <c r="N21" s="38"/>
      <c r="O21" s="333">
        <f t="shared" si="3"/>
        <v>190</v>
      </c>
      <c r="P21" s="33"/>
      <c r="Q21" s="25"/>
      <c r="R21" s="40">
        <v>4</v>
      </c>
      <c r="S21" s="26">
        <f t="shared" si="4"/>
        <v>4</v>
      </c>
      <c r="T21" s="38"/>
      <c r="U21" s="20">
        <f t="shared" si="5"/>
        <v>4</v>
      </c>
      <c r="V21" s="33"/>
      <c r="W21" s="25"/>
      <c r="X21" s="40">
        <v>170</v>
      </c>
      <c r="Y21" s="26">
        <f t="shared" si="6"/>
        <v>170</v>
      </c>
      <c r="Z21" s="38"/>
      <c r="AA21" s="20">
        <f t="shared" si="7"/>
        <v>170</v>
      </c>
      <c r="AB21" s="21">
        <f t="shared" si="8"/>
        <v>0.89473684210526316</v>
      </c>
      <c r="AC21" s="3"/>
      <c r="AD21" s="3"/>
    </row>
    <row r="22" spans="1:30" x14ac:dyDescent="0.25">
      <c r="A22" s="1"/>
      <c r="B22" s="22" t="s">
        <v>36</v>
      </c>
      <c r="C22" s="41" t="s">
        <v>37</v>
      </c>
      <c r="D22" s="33"/>
      <c r="E22" s="25"/>
      <c r="F22" s="40">
        <v>754.5</v>
      </c>
      <c r="G22" s="26">
        <f t="shared" si="1"/>
        <v>754.5</v>
      </c>
      <c r="H22" s="42">
        <v>47.9</v>
      </c>
      <c r="I22" s="20">
        <f>G22+H22</f>
        <v>802.4</v>
      </c>
      <c r="J22" s="33"/>
      <c r="K22" s="25"/>
      <c r="L22" s="40">
        <v>50</v>
      </c>
      <c r="M22" s="336">
        <f t="shared" si="0"/>
        <v>50</v>
      </c>
      <c r="N22" s="42"/>
      <c r="O22" s="333">
        <f>M22+N22</f>
        <v>50</v>
      </c>
      <c r="P22" s="33"/>
      <c r="Q22" s="25"/>
      <c r="R22" s="40">
        <v>234</v>
      </c>
      <c r="S22" s="26">
        <f t="shared" si="4"/>
        <v>234</v>
      </c>
      <c r="T22" s="42"/>
      <c r="U22" s="20">
        <f>S22+T22</f>
        <v>234</v>
      </c>
      <c r="V22" s="33"/>
      <c r="W22" s="25"/>
      <c r="X22" s="40">
        <v>50</v>
      </c>
      <c r="Y22" s="26">
        <f t="shared" si="6"/>
        <v>50</v>
      </c>
      <c r="Z22" s="42">
        <v>10</v>
      </c>
      <c r="AA22" s="20">
        <f>Y22+Z22</f>
        <v>60</v>
      </c>
      <c r="AB22" s="21">
        <f t="shared" si="8"/>
        <v>1.2</v>
      </c>
      <c r="AC22" s="3"/>
      <c r="AD22" s="3"/>
    </row>
    <row r="23" spans="1:30" x14ac:dyDescent="0.25">
      <c r="A23" s="1"/>
      <c r="B23" s="22" t="s">
        <v>38</v>
      </c>
      <c r="C23" s="41" t="s">
        <v>39</v>
      </c>
      <c r="D23" s="33"/>
      <c r="E23" s="25"/>
      <c r="F23" s="40"/>
      <c r="G23" s="26">
        <f t="shared" si="1"/>
        <v>0</v>
      </c>
      <c r="H23" s="42"/>
      <c r="I23" s="20">
        <f t="shared" si="2"/>
        <v>0</v>
      </c>
      <c r="J23" s="33"/>
      <c r="K23" s="25"/>
      <c r="L23" s="40"/>
      <c r="M23" s="336">
        <f t="shared" si="0"/>
        <v>0</v>
      </c>
      <c r="N23" s="42">
        <v>200</v>
      </c>
      <c r="O23" s="333">
        <f t="shared" ref="O23:O24" si="9">M23+N23</f>
        <v>200</v>
      </c>
      <c r="P23" s="33"/>
      <c r="Q23" s="25"/>
      <c r="R23" s="40"/>
      <c r="S23" s="26">
        <f t="shared" si="4"/>
        <v>0</v>
      </c>
      <c r="T23" s="42"/>
      <c r="U23" s="20">
        <f t="shared" ref="U23:U24" si="10">S23+T23</f>
        <v>0</v>
      </c>
      <c r="V23" s="33"/>
      <c r="W23" s="25"/>
      <c r="X23" s="40"/>
      <c r="Y23" s="26">
        <f t="shared" si="6"/>
        <v>0</v>
      </c>
      <c r="Z23" s="42"/>
      <c r="AA23" s="20">
        <f t="shared" ref="AA23:AA24" si="11">Y23+Z23</f>
        <v>0</v>
      </c>
      <c r="AB23" s="21">
        <f t="shared" si="8"/>
        <v>0</v>
      </c>
      <c r="AC23" s="3"/>
      <c r="AD23" s="3"/>
    </row>
    <row r="24" spans="1:30" ht="15.75" thickBot="1" x14ac:dyDescent="0.3">
      <c r="A24" s="1"/>
      <c r="B24" s="43" t="s">
        <v>40</v>
      </c>
      <c r="C24" s="44" t="s">
        <v>41</v>
      </c>
      <c r="D24" s="45"/>
      <c r="E24" s="46"/>
      <c r="F24" s="47"/>
      <c r="G24" s="48">
        <f t="shared" si="1"/>
        <v>0</v>
      </c>
      <c r="H24" s="49"/>
      <c r="I24" s="50">
        <f t="shared" si="2"/>
        <v>0</v>
      </c>
      <c r="J24" s="45"/>
      <c r="K24" s="46"/>
      <c r="L24" s="47"/>
      <c r="M24" s="349">
        <f t="shared" si="0"/>
        <v>0</v>
      </c>
      <c r="N24" s="49"/>
      <c r="O24" s="351">
        <f t="shared" si="9"/>
        <v>0</v>
      </c>
      <c r="P24" s="45"/>
      <c r="Q24" s="46"/>
      <c r="R24" s="47"/>
      <c r="S24" s="48">
        <f t="shared" si="4"/>
        <v>0</v>
      </c>
      <c r="T24" s="49"/>
      <c r="U24" s="50">
        <f t="shared" si="10"/>
        <v>0</v>
      </c>
      <c r="V24" s="45"/>
      <c r="W24" s="46"/>
      <c r="X24" s="47"/>
      <c r="Y24" s="48">
        <f t="shared" si="6"/>
        <v>0</v>
      </c>
      <c r="Z24" s="49"/>
      <c r="AA24" s="50">
        <f t="shared" si="11"/>
        <v>0</v>
      </c>
      <c r="AB24" s="51" t="e">
        <f t="shared" si="8"/>
        <v>#DIV/0!</v>
      </c>
      <c r="AC24" s="3"/>
      <c r="AD24" s="3"/>
    </row>
    <row r="25" spans="1:30" ht="15.75" thickBot="1" x14ac:dyDescent="0.3">
      <c r="A25" s="1"/>
      <c r="B25" s="52" t="s">
        <v>42</v>
      </c>
      <c r="C25" s="53" t="s">
        <v>43</v>
      </c>
      <c r="D25" s="54">
        <f>SUM(D15:D22)</f>
        <v>6737.5</v>
      </c>
      <c r="E25" s="55">
        <f>SUM(E15:E22)</f>
        <v>52361.9</v>
      </c>
      <c r="F25" s="55">
        <f>SUM(F15:F22)</f>
        <v>2442.3000000000002</v>
      </c>
      <c r="G25" s="56">
        <f>SUM(D25:F25)</f>
        <v>61541.700000000004</v>
      </c>
      <c r="H25" s="57">
        <f>SUM(H15:H22)</f>
        <v>278.39999999999998</v>
      </c>
      <c r="I25" s="57">
        <f>SUM(I15:I22)</f>
        <v>61820.1</v>
      </c>
      <c r="J25" s="352">
        <f>SUM(J15:J22)</f>
        <v>8103.6</v>
      </c>
      <c r="K25" s="353">
        <f>SUM(K15:K22)</f>
        <v>42446.7</v>
      </c>
      <c r="L25" s="353">
        <f>SUM(L15:L22)</f>
        <v>2279.8000000000002</v>
      </c>
      <c r="M25" s="354">
        <f>SUM(J25:L25)</f>
        <v>52830.1</v>
      </c>
      <c r="N25" s="355">
        <f>SUM(N15:N22)</f>
        <v>210</v>
      </c>
      <c r="O25" s="355">
        <f>SUM(O15:O22)</f>
        <v>53040.1</v>
      </c>
      <c r="P25" s="54">
        <f>SUM(P15:P22)</f>
        <v>3468.2000000000003</v>
      </c>
      <c r="Q25" s="55">
        <f>SUM(Q15:Q22)</f>
        <v>25415.1</v>
      </c>
      <c r="R25" s="55">
        <f>SUM(R15:R22)</f>
        <v>1036.5999999999999</v>
      </c>
      <c r="S25" s="56">
        <f>SUM(P25:R25)</f>
        <v>29919.899999999998</v>
      </c>
      <c r="T25" s="57">
        <f>SUM(T15:T22)</f>
        <v>158.4</v>
      </c>
      <c r="U25" s="57">
        <f>SUM(U15:U22)</f>
        <v>30078.3</v>
      </c>
      <c r="V25" s="54">
        <f>SUM(V15:V22)</f>
        <v>15500.5</v>
      </c>
      <c r="W25" s="55">
        <f>SUM(W15:W22)</f>
        <v>39970.5</v>
      </c>
      <c r="X25" s="55">
        <f>SUM(X15:X22)</f>
        <v>2883.7</v>
      </c>
      <c r="Y25" s="56">
        <f>SUM(V25:X25)</f>
        <v>58354.7</v>
      </c>
      <c r="Z25" s="57">
        <f>SUM(Z15:Z22)</f>
        <v>230</v>
      </c>
      <c r="AA25" s="57">
        <f>SUM(AA15:AA22)</f>
        <v>58584.7</v>
      </c>
      <c r="AB25" s="58">
        <f t="shared" si="8"/>
        <v>1.1045360020060293</v>
      </c>
      <c r="AC25" s="3"/>
      <c r="AD25" s="3"/>
    </row>
    <row r="26" spans="1:30" ht="15.75" customHeight="1" thickBot="1" x14ac:dyDescent="0.3">
      <c r="A26" s="1"/>
      <c r="B26" s="59"/>
      <c r="C26" s="60"/>
      <c r="D26" s="596" t="s">
        <v>44</v>
      </c>
      <c r="E26" s="597"/>
      <c r="F26" s="597"/>
      <c r="G26" s="598"/>
      <c r="H26" s="598"/>
      <c r="I26" s="599"/>
      <c r="J26" s="705" t="s">
        <v>44</v>
      </c>
      <c r="K26" s="706"/>
      <c r="L26" s="706"/>
      <c r="M26" s="707"/>
      <c r="N26" s="707"/>
      <c r="O26" s="708"/>
      <c r="P26" s="596" t="s">
        <v>44</v>
      </c>
      <c r="Q26" s="597"/>
      <c r="R26" s="597"/>
      <c r="S26" s="598"/>
      <c r="T26" s="598"/>
      <c r="U26" s="599"/>
      <c r="V26" s="596" t="s">
        <v>44</v>
      </c>
      <c r="W26" s="597"/>
      <c r="X26" s="597"/>
      <c r="Y26" s="598"/>
      <c r="Z26" s="598"/>
      <c r="AA26" s="599"/>
      <c r="AB26" s="600" t="s">
        <v>13</v>
      </c>
      <c r="AC26" s="3"/>
      <c r="AD26" s="3"/>
    </row>
    <row r="27" spans="1:30" ht="15.75" thickBot="1" x14ac:dyDescent="0.3">
      <c r="A27" s="1"/>
      <c r="B27" s="590" t="s">
        <v>7</v>
      </c>
      <c r="C27" s="592" t="s">
        <v>8</v>
      </c>
      <c r="D27" s="586" t="s">
        <v>45</v>
      </c>
      <c r="E27" s="587"/>
      <c r="F27" s="587"/>
      <c r="G27" s="588" t="s">
        <v>46</v>
      </c>
      <c r="H27" s="578" t="s">
        <v>47</v>
      </c>
      <c r="I27" s="580" t="s">
        <v>44</v>
      </c>
      <c r="J27" s="709" t="s">
        <v>45</v>
      </c>
      <c r="K27" s="710"/>
      <c r="L27" s="710"/>
      <c r="M27" s="711" t="s">
        <v>46</v>
      </c>
      <c r="N27" s="713" t="s">
        <v>47</v>
      </c>
      <c r="O27" s="715" t="s">
        <v>44</v>
      </c>
      <c r="P27" s="586" t="s">
        <v>45</v>
      </c>
      <c r="Q27" s="587"/>
      <c r="R27" s="587"/>
      <c r="S27" s="588" t="s">
        <v>46</v>
      </c>
      <c r="T27" s="578" t="s">
        <v>47</v>
      </c>
      <c r="U27" s="580" t="s">
        <v>44</v>
      </c>
      <c r="V27" s="586" t="s">
        <v>45</v>
      </c>
      <c r="W27" s="587"/>
      <c r="X27" s="587"/>
      <c r="Y27" s="588" t="s">
        <v>46</v>
      </c>
      <c r="Z27" s="578" t="s">
        <v>47</v>
      </c>
      <c r="AA27" s="580" t="s">
        <v>44</v>
      </c>
      <c r="AB27" s="601"/>
      <c r="AC27" s="3"/>
      <c r="AD27" s="3"/>
    </row>
    <row r="28" spans="1:30" ht="15.75" thickBot="1" x14ac:dyDescent="0.3">
      <c r="A28" s="1"/>
      <c r="B28" s="591"/>
      <c r="C28" s="593"/>
      <c r="D28" s="61" t="s">
        <v>48</v>
      </c>
      <c r="E28" s="62" t="s">
        <v>49</v>
      </c>
      <c r="F28" s="63" t="s">
        <v>50</v>
      </c>
      <c r="G28" s="589"/>
      <c r="H28" s="579"/>
      <c r="I28" s="581"/>
      <c r="J28" s="356" t="s">
        <v>48</v>
      </c>
      <c r="K28" s="357" t="s">
        <v>49</v>
      </c>
      <c r="L28" s="358" t="s">
        <v>50</v>
      </c>
      <c r="M28" s="712"/>
      <c r="N28" s="714"/>
      <c r="O28" s="716"/>
      <c r="P28" s="61" t="s">
        <v>48</v>
      </c>
      <c r="Q28" s="62" t="s">
        <v>49</v>
      </c>
      <c r="R28" s="63" t="s">
        <v>50</v>
      </c>
      <c r="S28" s="589"/>
      <c r="T28" s="579"/>
      <c r="U28" s="581"/>
      <c r="V28" s="61" t="s">
        <v>48</v>
      </c>
      <c r="W28" s="62" t="s">
        <v>49</v>
      </c>
      <c r="X28" s="63" t="s">
        <v>50</v>
      </c>
      <c r="Y28" s="589"/>
      <c r="Z28" s="579"/>
      <c r="AA28" s="581"/>
      <c r="AB28" s="602"/>
      <c r="AC28" s="3"/>
      <c r="AD28" s="3"/>
    </row>
    <row r="29" spans="1:30" x14ac:dyDescent="0.25">
      <c r="A29" s="1"/>
      <c r="B29" s="13" t="s">
        <v>51</v>
      </c>
      <c r="C29" s="67" t="s">
        <v>52</v>
      </c>
      <c r="D29" s="68">
        <v>400.2</v>
      </c>
      <c r="E29" s="68"/>
      <c r="F29" s="68"/>
      <c r="G29" s="70">
        <f>SUM(D29:F29)</f>
        <v>400.2</v>
      </c>
      <c r="H29" s="70"/>
      <c r="I29" s="71">
        <f>G29+H29</f>
        <v>400.2</v>
      </c>
      <c r="J29" s="72">
        <v>665.4</v>
      </c>
      <c r="K29" s="68"/>
      <c r="L29" s="68"/>
      <c r="M29" s="359">
        <f>SUM(J29:L29)</f>
        <v>665.4</v>
      </c>
      <c r="N29" s="70"/>
      <c r="O29" s="360">
        <f>M29+N29</f>
        <v>665.4</v>
      </c>
      <c r="P29" s="72">
        <v>81</v>
      </c>
      <c r="Q29" s="68"/>
      <c r="R29" s="68"/>
      <c r="S29" s="70">
        <f>SUM(P29:R29)</f>
        <v>81</v>
      </c>
      <c r="T29" s="70"/>
      <c r="U29" s="71">
        <f>S29+T29</f>
        <v>81</v>
      </c>
      <c r="V29" s="72">
        <v>593.1</v>
      </c>
      <c r="W29" s="68"/>
      <c r="X29" s="68"/>
      <c r="Y29" s="70">
        <f>SUM(V29:X29)</f>
        <v>593.1</v>
      </c>
      <c r="Z29" s="70"/>
      <c r="AA29" s="71">
        <f>Y29+Z29</f>
        <v>593.1</v>
      </c>
      <c r="AB29" s="21">
        <f t="shared" ref="AB29:AB42" si="12">(AA29/O29)</f>
        <v>0.89134355275022548</v>
      </c>
      <c r="AC29" s="3"/>
      <c r="AD29" s="3"/>
    </row>
    <row r="30" spans="1:30" x14ac:dyDescent="0.25">
      <c r="A30" s="1"/>
      <c r="B30" s="22" t="s">
        <v>53</v>
      </c>
      <c r="C30" s="73" t="s">
        <v>54</v>
      </c>
      <c r="D30" s="74">
        <v>705.5</v>
      </c>
      <c r="E30" s="75">
        <v>1196.8</v>
      </c>
      <c r="F30" s="75">
        <v>942</v>
      </c>
      <c r="G30" s="76">
        <f t="shared" ref="G30:G39" si="13">SUM(D30:F30)</f>
        <v>2844.3</v>
      </c>
      <c r="H30" s="77">
        <v>4.5999999999999996</v>
      </c>
      <c r="I30" s="20">
        <f t="shared" ref="I30:I39" si="14">G30+H30</f>
        <v>2848.9</v>
      </c>
      <c r="J30" s="78">
        <v>472.2</v>
      </c>
      <c r="K30" s="75">
        <v>333.5</v>
      </c>
      <c r="L30" s="75">
        <v>1244.5</v>
      </c>
      <c r="M30" s="361">
        <f t="shared" ref="M30:M39" si="15">SUM(J30:L30)</f>
        <v>2050.1999999999998</v>
      </c>
      <c r="N30" s="77">
        <v>3.2</v>
      </c>
      <c r="O30" s="333">
        <f t="shared" ref="O30:O39" si="16">M30+N30</f>
        <v>2053.3999999999996</v>
      </c>
      <c r="P30" s="78">
        <v>220.1</v>
      </c>
      <c r="Q30" s="75">
        <v>696.2</v>
      </c>
      <c r="R30" s="75">
        <v>626.70000000000005</v>
      </c>
      <c r="S30" s="76">
        <f t="shared" ref="S30:S39" si="17">SUM(P30:R30)</f>
        <v>1543</v>
      </c>
      <c r="T30" s="77">
        <v>19.2</v>
      </c>
      <c r="U30" s="20">
        <f t="shared" ref="U30:U39" si="18">S30+T30</f>
        <v>1562.2</v>
      </c>
      <c r="V30" s="78">
        <v>587.20000000000005</v>
      </c>
      <c r="W30" s="75">
        <v>363</v>
      </c>
      <c r="X30" s="75">
        <v>1200</v>
      </c>
      <c r="Y30" s="76">
        <f t="shared" ref="Y30:Y39" si="19">SUM(V30:X30)</f>
        <v>2150.1999999999998</v>
      </c>
      <c r="Z30" s="77">
        <v>40</v>
      </c>
      <c r="AA30" s="20">
        <f t="shared" ref="AA30:AA39" si="20">Y30+Z30</f>
        <v>2190.1999999999998</v>
      </c>
      <c r="AB30" s="21">
        <f t="shared" si="12"/>
        <v>1.0666212135969613</v>
      </c>
      <c r="AC30" s="3"/>
      <c r="AD30" s="3"/>
    </row>
    <row r="31" spans="1:30" x14ac:dyDescent="0.25">
      <c r="A31" s="1"/>
      <c r="B31" s="22" t="s">
        <v>55</v>
      </c>
      <c r="C31" s="41" t="s">
        <v>56</v>
      </c>
      <c r="D31" s="79">
        <v>2541.3000000000002</v>
      </c>
      <c r="E31" s="79"/>
      <c r="F31" s="79">
        <v>50</v>
      </c>
      <c r="G31" s="76">
        <f t="shared" si="13"/>
        <v>2591.3000000000002</v>
      </c>
      <c r="H31" s="76">
        <v>103.1</v>
      </c>
      <c r="I31" s="20">
        <f t="shared" si="14"/>
        <v>2694.4</v>
      </c>
      <c r="J31" s="80">
        <v>2701.3</v>
      </c>
      <c r="K31" s="79"/>
      <c r="L31" s="79"/>
      <c r="M31" s="361">
        <f t="shared" si="15"/>
        <v>2701.3</v>
      </c>
      <c r="N31" s="76">
        <v>201.7</v>
      </c>
      <c r="O31" s="333">
        <f t="shared" si="16"/>
        <v>2903</v>
      </c>
      <c r="P31" s="80">
        <v>1390.8</v>
      </c>
      <c r="Q31" s="79">
        <v>0.5</v>
      </c>
      <c r="R31" s="79"/>
      <c r="S31" s="76">
        <f t="shared" si="17"/>
        <v>1391.3</v>
      </c>
      <c r="T31" s="76">
        <v>3.1</v>
      </c>
      <c r="U31" s="20">
        <f t="shared" si="18"/>
        <v>1394.3999999999999</v>
      </c>
      <c r="V31" s="80">
        <v>2701.3</v>
      </c>
      <c r="W31" s="79"/>
      <c r="X31" s="79"/>
      <c r="Y31" s="76">
        <f t="shared" si="19"/>
        <v>2701.3</v>
      </c>
      <c r="Z31" s="76">
        <v>182</v>
      </c>
      <c r="AA31" s="20">
        <f t="shared" si="20"/>
        <v>2883.3</v>
      </c>
      <c r="AB31" s="21">
        <f t="shared" si="12"/>
        <v>0.99321391663796077</v>
      </c>
      <c r="AC31" s="3"/>
      <c r="AD31" s="3"/>
    </row>
    <row r="32" spans="1:30" x14ac:dyDescent="0.25">
      <c r="A32" s="1"/>
      <c r="B32" s="22" t="s">
        <v>57</v>
      </c>
      <c r="C32" s="41" t="s">
        <v>58</v>
      </c>
      <c r="D32" s="79">
        <v>1359.2</v>
      </c>
      <c r="E32" s="79">
        <v>2475.3000000000002</v>
      </c>
      <c r="F32" s="79">
        <v>11.5</v>
      </c>
      <c r="G32" s="76">
        <f t="shared" si="13"/>
        <v>3846</v>
      </c>
      <c r="H32" s="76"/>
      <c r="I32" s="20">
        <f t="shared" si="14"/>
        <v>3846</v>
      </c>
      <c r="J32" s="80">
        <v>2172.9</v>
      </c>
      <c r="K32" s="79">
        <v>70</v>
      </c>
      <c r="L32" s="79">
        <v>50</v>
      </c>
      <c r="M32" s="361">
        <f t="shared" si="15"/>
        <v>2292.9</v>
      </c>
      <c r="N32" s="76"/>
      <c r="O32" s="333">
        <f t="shared" si="16"/>
        <v>2292.9</v>
      </c>
      <c r="P32" s="80">
        <v>793.6</v>
      </c>
      <c r="Q32" s="79">
        <v>1588.9</v>
      </c>
      <c r="R32" s="79">
        <v>11.6</v>
      </c>
      <c r="S32" s="76">
        <f t="shared" si="17"/>
        <v>2394.1</v>
      </c>
      <c r="T32" s="76"/>
      <c r="U32" s="20">
        <f t="shared" si="18"/>
        <v>2394.1</v>
      </c>
      <c r="V32" s="80">
        <v>1276.8</v>
      </c>
      <c r="W32" s="79">
        <v>350</v>
      </c>
      <c r="X32" s="79">
        <v>100</v>
      </c>
      <c r="Y32" s="76">
        <f t="shared" si="19"/>
        <v>1726.8</v>
      </c>
      <c r="Z32" s="76"/>
      <c r="AA32" s="20">
        <f t="shared" si="20"/>
        <v>1726.8</v>
      </c>
      <c r="AB32" s="21">
        <f t="shared" si="12"/>
        <v>0.75310741855292418</v>
      </c>
      <c r="AC32" s="3"/>
      <c r="AD32" s="3"/>
    </row>
    <row r="33" spans="1:30" x14ac:dyDescent="0.25">
      <c r="A33" s="1"/>
      <c r="B33" s="22" t="s">
        <v>59</v>
      </c>
      <c r="C33" s="41" t="s">
        <v>60</v>
      </c>
      <c r="D33" s="363">
        <v>283.60000000000002</v>
      </c>
      <c r="E33" s="79">
        <v>35309.199999999997</v>
      </c>
      <c r="F33" s="79">
        <v>23.1</v>
      </c>
      <c r="G33" s="76">
        <f t="shared" si="13"/>
        <v>35615.899999999994</v>
      </c>
      <c r="H33" s="76">
        <v>2.4</v>
      </c>
      <c r="I33" s="20">
        <f t="shared" si="14"/>
        <v>35618.299999999996</v>
      </c>
      <c r="J33" s="82">
        <v>456.2</v>
      </c>
      <c r="K33" s="79">
        <v>31004.799999999999</v>
      </c>
      <c r="L33" s="79">
        <v>100</v>
      </c>
      <c r="M33" s="361">
        <f t="shared" si="15"/>
        <v>31561</v>
      </c>
      <c r="N33" s="76">
        <v>3.8</v>
      </c>
      <c r="O33" s="333">
        <f t="shared" si="16"/>
        <v>31564.799999999999</v>
      </c>
      <c r="P33" s="82">
        <v>113.6</v>
      </c>
      <c r="Q33" s="79">
        <v>17120.8</v>
      </c>
      <c r="R33" s="79"/>
      <c r="S33" s="76">
        <f t="shared" si="17"/>
        <v>17234.399999999998</v>
      </c>
      <c r="T33" s="76">
        <v>6.3</v>
      </c>
      <c r="U33" s="20">
        <f t="shared" si="18"/>
        <v>17240.699999999997</v>
      </c>
      <c r="V33" s="82">
        <v>5932.4</v>
      </c>
      <c r="W33" s="79">
        <v>29277.7</v>
      </c>
      <c r="X33" s="79">
        <v>100</v>
      </c>
      <c r="Y33" s="76">
        <f t="shared" si="19"/>
        <v>35310.1</v>
      </c>
      <c r="Z33" s="76">
        <v>6</v>
      </c>
      <c r="AA33" s="20">
        <f t="shared" si="20"/>
        <v>35316.1</v>
      </c>
      <c r="AB33" s="21">
        <f t="shared" si="12"/>
        <v>1.1188444089618816</v>
      </c>
      <c r="AC33" s="3"/>
      <c r="AD33" s="3"/>
    </row>
    <row r="34" spans="1:30" x14ac:dyDescent="0.25">
      <c r="A34" s="1"/>
      <c r="B34" s="22" t="s">
        <v>61</v>
      </c>
      <c r="C34" s="35" t="s">
        <v>127</v>
      </c>
      <c r="D34" s="363">
        <v>239.8</v>
      </c>
      <c r="E34" s="79">
        <v>33780.800000000003</v>
      </c>
      <c r="F34" s="79">
        <v>23.1</v>
      </c>
      <c r="G34" s="76">
        <f t="shared" si="13"/>
        <v>34043.700000000004</v>
      </c>
      <c r="H34" s="76">
        <v>2.4</v>
      </c>
      <c r="I34" s="20">
        <f t="shared" si="14"/>
        <v>34046.100000000006</v>
      </c>
      <c r="J34" s="82">
        <v>226.2</v>
      </c>
      <c r="K34" s="79">
        <v>30654.799999999999</v>
      </c>
      <c r="L34" s="79">
        <v>100</v>
      </c>
      <c r="M34" s="361">
        <f t="shared" si="15"/>
        <v>30981</v>
      </c>
      <c r="N34" s="76">
        <v>3.8</v>
      </c>
      <c r="O34" s="333">
        <f t="shared" si="16"/>
        <v>30984.799999999999</v>
      </c>
      <c r="P34" s="82">
        <v>98.8</v>
      </c>
      <c r="Q34" s="79">
        <v>16506.3</v>
      </c>
      <c r="R34" s="79"/>
      <c r="S34" s="76">
        <f t="shared" si="17"/>
        <v>16605.099999999999</v>
      </c>
      <c r="T34" s="76">
        <v>6.3</v>
      </c>
      <c r="U34" s="20">
        <f t="shared" si="18"/>
        <v>16611.399999999998</v>
      </c>
      <c r="V34" s="82">
        <v>5677</v>
      </c>
      <c r="W34" s="79">
        <v>28677.7</v>
      </c>
      <c r="X34" s="79"/>
      <c r="Y34" s="76">
        <f t="shared" si="19"/>
        <v>34354.699999999997</v>
      </c>
      <c r="Z34" s="76">
        <v>6</v>
      </c>
      <c r="AA34" s="20">
        <f t="shared" si="20"/>
        <v>34360.699999999997</v>
      </c>
      <c r="AB34" s="21">
        <f t="shared" si="12"/>
        <v>1.1089534223232036</v>
      </c>
      <c r="AC34" s="3"/>
      <c r="AD34" s="3"/>
    </row>
    <row r="35" spans="1:30" x14ac:dyDescent="0.25">
      <c r="A35" s="1"/>
      <c r="B35" s="22" t="s">
        <v>63</v>
      </c>
      <c r="C35" s="81" t="s">
        <v>64</v>
      </c>
      <c r="D35" s="363">
        <v>43.8</v>
      </c>
      <c r="E35" s="79">
        <v>1528.4</v>
      </c>
      <c r="F35" s="79"/>
      <c r="G35" s="76">
        <f t="shared" si="13"/>
        <v>1572.2</v>
      </c>
      <c r="H35" s="76"/>
      <c r="I35" s="20">
        <f t="shared" si="14"/>
        <v>1572.2</v>
      </c>
      <c r="J35" s="82">
        <v>230</v>
      </c>
      <c r="K35" s="79">
        <v>350</v>
      </c>
      <c r="L35" s="79"/>
      <c r="M35" s="361">
        <f>SUM(J35:L35)</f>
        <v>580</v>
      </c>
      <c r="N35" s="76"/>
      <c r="O35" s="333">
        <f t="shared" si="16"/>
        <v>580</v>
      </c>
      <c r="P35" s="82">
        <v>14.8</v>
      </c>
      <c r="Q35" s="79">
        <v>614.5</v>
      </c>
      <c r="R35" s="79"/>
      <c r="S35" s="76">
        <f t="shared" si="17"/>
        <v>629.29999999999995</v>
      </c>
      <c r="T35" s="76"/>
      <c r="U35" s="20">
        <f t="shared" si="18"/>
        <v>629.29999999999995</v>
      </c>
      <c r="V35" s="82">
        <v>255.4</v>
      </c>
      <c r="W35" s="79">
        <v>600</v>
      </c>
      <c r="X35" s="79">
        <v>33.799999999999997</v>
      </c>
      <c r="Y35" s="76">
        <f t="shared" si="19"/>
        <v>889.19999999999993</v>
      </c>
      <c r="Z35" s="76"/>
      <c r="AA35" s="20">
        <f t="shared" si="20"/>
        <v>889.19999999999993</v>
      </c>
      <c r="AB35" s="21">
        <f t="shared" si="12"/>
        <v>1.5331034482758619</v>
      </c>
      <c r="AC35" s="3"/>
      <c r="AD35" s="3"/>
    </row>
    <row r="36" spans="1:30" x14ac:dyDescent="0.25">
      <c r="A36" s="1"/>
      <c r="B36" s="22" t="s">
        <v>65</v>
      </c>
      <c r="C36" s="41" t="s">
        <v>66</v>
      </c>
      <c r="D36" s="363">
        <v>83.2</v>
      </c>
      <c r="E36" s="79">
        <v>11248.7</v>
      </c>
      <c r="F36" s="79"/>
      <c r="G36" s="76">
        <f t="shared" si="13"/>
        <v>11331.900000000001</v>
      </c>
      <c r="H36" s="76">
        <v>0.9</v>
      </c>
      <c r="I36" s="20">
        <f t="shared" si="14"/>
        <v>11332.800000000001</v>
      </c>
      <c r="J36" s="82">
        <v>78.8</v>
      </c>
      <c r="K36" s="79">
        <v>10486.3</v>
      </c>
      <c r="L36" s="79"/>
      <c r="M36" s="361">
        <f t="shared" ref="M36" si="21">SUM(J36:L36)</f>
        <v>10565.099999999999</v>
      </c>
      <c r="N36" s="76">
        <v>1.3</v>
      </c>
      <c r="O36" s="333">
        <f t="shared" si="16"/>
        <v>10566.399999999998</v>
      </c>
      <c r="P36" s="82">
        <v>32.299999999999997</v>
      </c>
      <c r="Q36" s="79">
        <v>5500</v>
      </c>
      <c r="R36" s="79"/>
      <c r="S36" s="76">
        <f t="shared" si="17"/>
        <v>5532.3</v>
      </c>
      <c r="T36" s="76">
        <v>2.2000000000000002</v>
      </c>
      <c r="U36" s="20">
        <f t="shared" si="18"/>
        <v>5534.5</v>
      </c>
      <c r="V36" s="82">
        <v>2128.1999999999998</v>
      </c>
      <c r="W36" s="79">
        <v>9693</v>
      </c>
      <c r="X36" s="79"/>
      <c r="Y36" s="76">
        <f t="shared" si="19"/>
        <v>11821.2</v>
      </c>
      <c r="Z36" s="76">
        <v>2</v>
      </c>
      <c r="AA36" s="20">
        <f t="shared" si="20"/>
        <v>11823.2</v>
      </c>
      <c r="AB36" s="21">
        <f t="shared" si="12"/>
        <v>1.1189430648092069</v>
      </c>
      <c r="AC36" s="3"/>
      <c r="AD36" s="3"/>
    </row>
    <row r="37" spans="1:30" x14ac:dyDescent="0.25">
      <c r="A37" s="1"/>
      <c r="B37" s="22" t="s">
        <v>67</v>
      </c>
      <c r="C37" s="41" t="s">
        <v>68</v>
      </c>
      <c r="D37" s="79"/>
      <c r="E37" s="79"/>
      <c r="F37" s="79">
        <v>151.6</v>
      </c>
      <c r="G37" s="76">
        <f t="shared" si="13"/>
        <v>151.6</v>
      </c>
      <c r="H37" s="76"/>
      <c r="I37" s="20">
        <f t="shared" si="14"/>
        <v>151.6</v>
      </c>
      <c r="J37" s="80"/>
      <c r="K37" s="79"/>
      <c r="L37" s="79"/>
      <c r="M37" s="361">
        <f t="shared" si="15"/>
        <v>0</v>
      </c>
      <c r="N37" s="76"/>
      <c r="O37" s="333">
        <f t="shared" si="16"/>
        <v>0</v>
      </c>
      <c r="P37" s="80"/>
      <c r="Q37" s="79"/>
      <c r="R37" s="79">
        <v>44.1</v>
      </c>
      <c r="S37" s="76">
        <f t="shared" si="17"/>
        <v>44.1</v>
      </c>
      <c r="T37" s="76"/>
      <c r="U37" s="20">
        <f t="shared" si="18"/>
        <v>44.1</v>
      </c>
      <c r="V37" s="80"/>
      <c r="W37" s="79"/>
      <c r="X37" s="79"/>
      <c r="Y37" s="76">
        <f t="shared" si="19"/>
        <v>0</v>
      </c>
      <c r="Z37" s="76"/>
      <c r="AA37" s="20">
        <f t="shared" si="20"/>
        <v>0</v>
      </c>
      <c r="AB37" s="21" t="e">
        <f t="shared" si="12"/>
        <v>#DIV/0!</v>
      </c>
      <c r="AC37" s="3"/>
      <c r="AD37" s="3"/>
    </row>
    <row r="38" spans="1:30" x14ac:dyDescent="0.25">
      <c r="A38" s="1"/>
      <c r="B38" s="22" t="s">
        <v>69</v>
      </c>
      <c r="C38" s="41" t="s">
        <v>70</v>
      </c>
      <c r="D38" s="79">
        <v>709.8</v>
      </c>
      <c r="E38" s="79"/>
      <c r="F38" s="79">
        <v>562.70000000000005</v>
      </c>
      <c r="G38" s="76">
        <f t="shared" si="13"/>
        <v>1272.5</v>
      </c>
      <c r="H38" s="76"/>
      <c r="I38" s="20">
        <f t="shared" si="14"/>
        <v>1272.5</v>
      </c>
      <c r="J38" s="80">
        <v>683.5</v>
      </c>
      <c r="K38" s="79"/>
      <c r="L38" s="79">
        <v>339.8</v>
      </c>
      <c r="M38" s="361">
        <f t="shared" si="15"/>
        <v>1023.3</v>
      </c>
      <c r="N38" s="76"/>
      <c r="O38" s="333">
        <f t="shared" si="16"/>
        <v>1023.3</v>
      </c>
      <c r="P38" s="80">
        <v>457.5</v>
      </c>
      <c r="Q38" s="79"/>
      <c r="R38" s="79">
        <v>205</v>
      </c>
      <c r="S38" s="76">
        <f t="shared" si="17"/>
        <v>662.5</v>
      </c>
      <c r="T38" s="76"/>
      <c r="U38" s="20">
        <f t="shared" si="18"/>
        <v>662.5</v>
      </c>
      <c r="V38" s="80">
        <v>1204.5999999999999</v>
      </c>
      <c r="W38" s="79"/>
      <c r="X38" s="79">
        <v>1163.7</v>
      </c>
      <c r="Y38" s="76">
        <f t="shared" si="19"/>
        <v>2368.3000000000002</v>
      </c>
      <c r="Z38" s="76"/>
      <c r="AA38" s="20">
        <f t="shared" si="20"/>
        <v>2368.3000000000002</v>
      </c>
      <c r="AB38" s="21">
        <f t="shared" si="12"/>
        <v>2.3143750610769085</v>
      </c>
      <c r="AC38" s="3"/>
      <c r="AD38" s="3"/>
    </row>
    <row r="39" spans="1:30" ht="15.75" thickBot="1" x14ac:dyDescent="0.3">
      <c r="A39" s="1"/>
      <c r="B39" s="83" t="s">
        <v>71</v>
      </c>
      <c r="C39" s="84" t="s">
        <v>72</v>
      </c>
      <c r="D39" s="85">
        <v>467.1</v>
      </c>
      <c r="E39" s="85">
        <v>2131.9</v>
      </c>
      <c r="F39" s="89">
        <v>701.4</v>
      </c>
      <c r="G39" s="76">
        <f t="shared" si="13"/>
        <v>3300.4</v>
      </c>
      <c r="H39" s="87"/>
      <c r="I39" s="50">
        <f t="shared" si="14"/>
        <v>3300.4</v>
      </c>
      <c r="J39" s="88">
        <v>873.3</v>
      </c>
      <c r="K39" s="89">
        <v>552.1</v>
      </c>
      <c r="L39" s="89">
        <v>545.5</v>
      </c>
      <c r="M39" s="364">
        <f t="shared" si="15"/>
        <v>1970.9</v>
      </c>
      <c r="N39" s="87"/>
      <c r="O39" s="351">
        <f t="shared" si="16"/>
        <v>1970.9</v>
      </c>
      <c r="P39" s="88">
        <v>305.10000000000002</v>
      </c>
      <c r="Q39" s="89">
        <v>508.7</v>
      </c>
      <c r="R39" s="89">
        <v>149.19999999999999</v>
      </c>
      <c r="S39" s="87">
        <f t="shared" si="17"/>
        <v>963</v>
      </c>
      <c r="T39" s="87"/>
      <c r="U39" s="50">
        <f t="shared" si="18"/>
        <v>963</v>
      </c>
      <c r="V39" s="88">
        <v>1076.9000000000001</v>
      </c>
      <c r="W39" s="89">
        <v>286.8</v>
      </c>
      <c r="X39" s="89">
        <v>320</v>
      </c>
      <c r="Y39" s="87">
        <f t="shared" si="19"/>
        <v>1683.7</v>
      </c>
      <c r="Z39" s="87"/>
      <c r="AA39" s="50">
        <f t="shared" si="20"/>
        <v>1683.7</v>
      </c>
      <c r="AB39" s="51">
        <f t="shared" si="12"/>
        <v>0.85427977066314875</v>
      </c>
      <c r="AC39" s="3"/>
      <c r="AD39" s="3"/>
    </row>
    <row r="40" spans="1:30" ht="15.75" thickBot="1" x14ac:dyDescent="0.3">
      <c r="A40" s="1"/>
      <c r="B40" s="52" t="s">
        <v>73</v>
      </c>
      <c r="C40" s="90" t="s">
        <v>74</v>
      </c>
      <c r="D40" s="91">
        <f>SUM(D36:D39)+SUM(D29:D33)</f>
        <v>6549.9</v>
      </c>
      <c r="E40" s="91">
        <f>SUM(E36:E39)+SUM(E29:E33)</f>
        <v>52361.899999999994</v>
      </c>
      <c r="F40" s="91">
        <f>SUM(F36:F39)+SUM(F29:F33)</f>
        <v>2442.3000000000002</v>
      </c>
      <c r="G40" s="92">
        <f>SUM(D40:F40)</f>
        <v>61354.1</v>
      </c>
      <c r="H40" s="93">
        <f>SUM(H29:H33)+SUM(H36:H39)</f>
        <v>111</v>
      </c>
      <c r="I40" s="94">
        <f>SUM(I36:I39)+SUM(I29:I33)</f>
        <v>61465.1</v>
      </c>
      <c r="J40" s="365">
        <f>SUM(J36:J39)+SUM(J29:J33)</f>
        <v>8103.6</v>
      </c>
      <c r="K40" s="365">
        <f>SUM(K36:K39)+SUM(K29:K33)</f>
        <v>42446.7</v>
      </c>
      <c r="L40" s="365">
        <f>SUM(L36:L39)+SUM(L29:L33)</f>
        <v>2279.8000000000002</v>
      </c>
      <c r="M40" s="366">
        <f>SUM(J40:L40)</f>
        <v>52830.1</v>
      </c>
      <c r="N40" s="367">
        <f>SUM(N29:N33)+SUM(N36:N39)</f>
        <v>210</v>
      </c>
      <c r="O40" s="368">
        <f>SUM(O36:O39)+SUM(O29:O33)</f>
        <v>53040.1</v>
      </c>
      <c r="P40" s="91">
        <f>SUM(P36:P39)+SUM(P29:P33)</f>
        <v>3394</v>
      </c>
      <c r="Q40" s="91">
        <f>SUM(Q36:Q39)+SUM(Q29:Q33)</f>
        <v>25415.100000000002</v>
      </c>
      <c r="R40" s="91">
        <f>SUM(R36:R39)+SUM(R29:R33)</f>
        <v>1036.5999999999999</v>
      </c>
      <c r="S40" s="92">
        <f>SUM(P40:R40)</f>
        <v>29845.7</v>
      </c>
      <c r="T40" s="93">
        <f>SUM(T29:T33)+SUM(T36:T39)</f>
        <v>30.8</v>
      </c>
      <c r="U40" s="94">
        <f>SUM(U36:U39)+SUM(U29:U33)</f>
        <v>29876.5</v>
      </c>
      <c r="V40" s="91">
        <f>SUM(V36:V39)+SUM(V29:V33)</f>
        <v>15500.5</v>
      </c>
      <c r="W40" s="91">
        <f>SUM(W36:W39)+SUM(W29:W33)</f>
        <v>39970.5</v>
      </c>
      <c r="X40" s="91">
        <f>SUM(X36:X39)+SUM(X29:X33)</f>
        <v>2883.7</v>
      </c>
      <c r="Y40" s="92">
        <f>SUM(V40:X40)</f>
        <v>58354.7</v>
      </c>
      <c r="Z40" s="93">
        <f>SUM(Z29:Z33)+SUM(Z36:Z39)</f>
        <v>230</v>
      </c>
      <c r="AA40" s="94">
        <f>SUM(AA36:AA39)+SUM(AA29:AA33)</f>
        <v>58584.7</v>
      </c>
      <c r="AB40" s="95">
        <f t="shared" si="12"/>
        <v>1.1045360020060293</v>
      </c>
      <c r="AC40" s="3"/>
      <c r="AD40" s="3"/>
    </row>
    <row r="41" spans="1:30" ht="19.5" thickBot="1" x14ac:dyDescent="0.35">
      <c r="A41" s="1"/>
      <c r="B41" s="96" t="s">
        <v>75</v>
      </c>
      <c r="C41" s="97" t="s">
        <v>76</v>
      </c>
      <c r="D41" s="98">
        <f t="shared" ref="D41:AA41" si="22">D25-D40</f>
        <v>187.60000000000036</v>
      </c>
      <c r="E41" s="98">
        <f t="shared" si="22"/>
        <v>0</v>
      </c>
      <c r="F41" s="98">
        <f t="shared" si="22"/>
        <v>0</v>
      </c>
      <c r="G41" s="99">
        <f t="shared" si="22"/>
        <v>187.60000000000582</v>
      </c>
      <c r="H41" s="99">
        <f t="shared" si="22"/>
        <v>167.39999999999998</v>
      </c>
      <c r="I41" s="100">
        <f t="shared" si="22"/>
        <v>355</v>
      </c>
      <c r="J41" s="98">
        <f t="shared" si="22"/>
        <v>0</v>
      </c>
      <c r="K41" s="98">
        <f t="shared" si="22"/>
        <v>0</v>
      </c>
      <c r="L41" s="98">
        <f t="shared" si="22"/>
        <v>0</v>
      </c>
      <c r="M41" s="369">
        <f t="shared" si="22"/>
        <v>0</v>
      </c>
      <c r="N41" s="369">
        <f t="shared" si="22"/>
        <v>0</v>
      </c>
      <c r="O41" s="370">
        <f t="shared" si="22"/>
        <v>0</v>
      </c>
      <c r="P41" s="98">
        <f t="shared" si="22"/>
        <v>74.200000000000273</v>
      </c>
      <c r="Q41" s="98">
        <f t="shared" si="22"/>
        <v>0</v>
      </c>
      <c r="R41" s="98">
        <f t="shared" si="22"/>
        <v>0</v>
      </c>
      <c r="S41" s="99">
        <f t="shared" si="22"/>
        <v>74.19999999999709</v>
      </c>
      <c r="T41" s="99">
        <f t="shared" si="22"/>
        <v>127.60000000000001</v>
      </c>
      <c r="U41" s="100">
        <f t="shared" si="22"/>
        <v>201.79999999999927</v>
      </c>
      <c r="V41" s="98">
        <f t="shared" si="22"/>
        <v>0</v>
      </c>
      <c r="W41" s="98">
        <f t="shared" si="22"/>
        <v>0</v>
      </c>
      <c r="X41" s="98">
        <f t="shared" si="22"/>
        <v>0</v>
      </c>
      <c r="Y41" s="99">
        <f t="shared" si="22"/>
        <v>0</v>
      </c>
      <c r="Z41" s="99">
        <f t="shared" si="22"/>
        <v>0</v>
      </c>
      <c r="AA41" s="100">
        <f t="shared" si="22"/>
        <v>0</v>
      </c>
      <c r="AB41" s="104" t="e">
        <f t="shared" si="12"/>
        <v>#DIV/0!</v>
      </c>
      <c r="AC41" s="3"/>
      <c r="AD41" s="3"/>
    </row>
    <row r="42" spans="1:30" ht="15.75" thickBot="1" x14ac:dyDescent="0.3">
      <c r="A42" s="1"/>
      <c r="B42" s="105" t="s">
        <v>77</v>
      </c>
      <c r="C42" s="106" t="s">
        <v>78</v>
      </c>
      <c r="D42" s="107"/>
      <c r="E42" s="108"/>
      <c r="F42" s="108"/>
      <c r="G42" s="109"/>
      <c r="H42" s="110"/>
      <c r="I42" s="111">
        <f>I41-D16</f>
        <v>-5786.3</v>
      </c>
      <c r="J42" s="107"/>
      <c r="K42" s="108"/>
      <c r="L42" s="108"/>
      <c r="M42" s="109"/>
      <c r="N42" s="113"/>
      <c r="O42" s="111">
        <f>O41-J16</f>
        <v>-6141.3</v>
      </c>
      <c r="P42" s="107"/>
      <c r="Q42" s="108"/>
      <c r="R42" s="108"/>
      <c r="S42" s="109"/>
      <c r="T42" s="113"/>
      <c r="U42" s="111">
        <f>U41-P16</f>
        <v>-3149.1000000000008</v>
      </c>
      <c r="V42" s="107"/>
      <c r="W42" s="108"/>
      <c r="X42" s="108"/>
      <c r="Y42" s="109"/>
      <c r="Z42" s="113"/>
      <c r="AA42" s="111">
        <f>AA41-V16</f>
        <v>-6863.2</v>
      </c>
      <c r="AB42" s="21">
        <f t="shared" si="12"/>
        <v>1.1175484018041781</v>
      </c>
      <c r="AC42" s="3"/>
      <c r="AD42" s="3"/>
    </row>
    <row r="43" spans="1:30" s="121" customFormat="1" ht="8.25" customHeight="1" thickBot="1" x14ac:dyDescent="0.3">
      <c r="A43" s="115"/>
      <c r="B43" s="116"/>
      <c r="C43" s="117"/>
      <c r="D43" s="118"/>
      <c r="E43" s="119"/>
      <c r="F43" s="119"/>
      <c r="G43" s="115"/>
      <c r="H43" s="119"/>
      <c r="I43" s="119"/>
      <c r="J43" s="118"/>
      <c r="K43" s="119"/>
      <c r="L43" s="119"/>
      <c r="M43" s="115"/>
      <c r="N43" s="119"/>
      <c r="O43" s="119"/>
      <c r="P43" s="119"/>
      <c r="Q43" s="119"/>
      <c r="R43" s="119"/>
      <c r="S43" s="119"/>
      <c r="T43" s="119"/>
      <c r="U43" s="119"/>
      <c r="V43" s="120"/>
      <c r="W43" s="120"/>
      <c r="X43" s="120"/>
      <c r="Y43" s="120"/>
      <c r="Z43" s="120"/>
      <c r="AA43" s="120"/>
      <c r="AB43" s="120"/>
      <c r="AC43" s="120"/>
      <c r="AD43" s="120"/>
    </row>
    <row r="44" spans="1:30" s="121" customFormat="1" ht="15.75" customHeight="1" thickBot="1" x14ac:dyDescent="0.3">
      <c r="A44" s="115"/>
      <c r="B44" s="122"/>
      <c r="C44" s="582" t="s">
        <v>79</v>
      </c>
      <c r="D44" s="123" t="s">
        <v>80</v>
      </c>
      <c r="E44" s="124" t="s">
        <v>81</v>
      </c>
      <c r="F44" s="125" t="s">
        <v>82</v>
      </c>
      <c r="G44" s="119"/>
      <c r="H44" s="119"/>
      <c r="I44" s="126"/>
      <c r="J44" s="123" t="s">
        <v>80</v>
      </c>
      <c r="K44" s="124" t="s">
        <v>81</v>
      </c>
      <c r="L44" s="125" t="s">
        <v>82</v>
      </c>
      <c r="M44" s="119"/>
      <c r="N44" s="119"/>
      <c r="O44" s="119"/>
      <c r="P44" s="123" t="s">
        <v>80</v>
      </c>
      <c r="Q44" s="124" t="s">
        <v>81</v>
      </c>
      <c r="R44" s="125" t="s">
        <v>82</v>
      </c>
      <c r="S44" s="120"/>
      <c r="T44" s="120"/>
      <c r="U44" s="120"/>
      <c r="V44" s="123" t="s">
        <v>80</v>
      </c>
      <c r="W44" s="124" t="s">
        <v>81</v>
      </c>
      <c r="X44" s="125" t="s">
        <v>82</v>
      </c>
      <c r="Y44" s="120"/>
      <c r="Z44" s="120"/>
      <c r="AA44" s="120"/>
      <c r="AB44" s="120"/>
      <c r="AC44" s="120"/>
      <c r="AD44" s="120"/>
    </row>
    <row r="45" spans="1:30" ht="15.75" thickBot="1" x14ac:dyDescent="0.3">
      <c r="A45" s="1"/>
      <c r="B45" s="122"/>
      <c r="C45" s="583"/>
      <c r="D45" s="127">
        <v>585</v>
      </c>
      <c r="E45" s="128">
        <v>585</v>
      </c>
      <c r="F45" s="129">
        <v>0</v>
      </c>
      <c r="G45" s="119"/>
      <c r="H45" s="119"/>
      <c r="I45" s="126"/>
      <c r="J45" s="127">
        <v>585</v>
      </c>
      <c r="K45" s="128">
        <v>585</v>
      </c>
      <c r="L45" s="129">
        <v>0</v>
      </c>
      <c r="M45" s="130"/>
      <c r="N45" s="130"/>
      <c r="O45" s="130"/>
      <c r="P45" s="127">
        <v>304.5</v>
      </c>
      <c r="Q45" s="128">
        <v>304.5</v>
      </c>
      <c r="R45" s="129">
        <v>0</v>
      </c>
      <c r="S45" s="3"/>
      <c r="T45" s="3"/>
      <c r="U45" s="3"/>
      <c r="V45" s="127">
        <v>978.1</v>
      </c>
      <c r="W45" s="128">
        <v>978.1</v>
      </c>
      <c r="X45" s="129">
        <v>0</v>
      </c>
      <c r="Y45" s="3"/>
      <c r="Z45" s="3"/>
      <c r="AA45" s="3"/>
      <c r="AB45" s="3"/>
      <c r="AC45" s="3"/>
      <c r="AD45" s="3"/>
    </row>
    <row r="46" spans="1:30" s="121" customFormat="1" ht="8.25" customHeight="1" thickBot="1" x14ac:dyDescent="0.3">
      <c r="A46" s="115"/>
      <c r="B46" s="122"/>
      <c r="C46" s="117"/>
      <c r="D46" s="130"/>
      <c r="E46" s="119"/>
      <c r="F46" s="119"/>
      <c r="G46" s="119"/>
      <c r="H46" s="119"/>
      <c r="I46" s="126"/>
      <c r="J46" s="119"/>
      <c r="K46" s="119"/>
      <c r="L46" s="119"/>
      <c r="M46" s="119"/>
      <c r="N46" s="119"/>
      <c r="O46" s="126"/>
      <c r="P46" s="126"/>
      <c r="Q46" s="126"/>
      <c r="R46" s="126"/>
      <c r="S46" s="126"/>
      <c r="T46" s="126"/>
      <c r="U46" s="126"/>
      <c r="V46" s="120"/>
      <c r="W46" s="120"/>
      <c r="X46" s="120"/>
      <c r="Y46" s="120"/>
      <c r="Z46" s="120"/>
      <c r="AA46" s="120"/>
      <c r="AB46" s="120"/>
      <c r="AC46" s="120"/>
      <c r="AD46" s="120"/>
    </row>
    <row r="47" spans="1:30" s="121" customFormat="1" ht="37.5" customHeight="1" thickBot="1" x14ac:dyDescent="0.3">
      <c r="A47" s="115"/>
      <c r="B47" s="122"/>
      <c r="C47" s="582" t="s">
        <v>83</v>
      </c>
      <c r="D47" s="131" t="s">
        <v>84</v>
      </c>
      <c r="E47" s="132" t="s">
        <v>85</v>
      </c>
      <c r="F47" s="119"/>
      <c r="G47" s="119"/>
      <c r="H47" s="119"/>
      <c r="I47" s="126"/>
      <c r="J47" s="131" t="s">
        <v>84</v>
      </c>
      <c r="K47" s="132" t="s">
        <v>85</v>
      </c>
      <c r="L47" s="133"/>
      <c r="M47" s="133"/>
      <c r="N47" s="120"/>
      <c r="O47" s="120"/>
      <c r="P47" s="131" t="s">
        <v>84</v>
      </c>
      <c r="Q47" s="132" t="s">
        <v>85</v>
      </c>
      <c r="R47" s="120"/>
      <c r="S47" s="120"/>
      <c r="T47" s="120"/>
      <c r="U47" s="120"/>
      <c r="V47" s="131" t="s">
        <v>84</v>
      </c>
      <c r="W47" s="132" t="s">
        <v>85</v>
      </c>
      <c r="X47" s="120"/>
      <c r="Y47" s="120"/>
      <c r="Z47" s="120"/>
      <c r="AA47" s="120"/>
      <c r="AB47" s="120"/>
      <c r="AC47" s="120"/>
      <c r="AD47" s="120"/>
    </row>
    <row r="48" spans="1:30" ht="15.75" thickBot="1" x14ac:dyDescent="0.3">
      <c r="A48" s="1"/>
      <c r="B48" s="134"/>
      <c r="C48" s="584"/>
      <c r="D48" s="127">
        <v>0</v>
      </c>
      <c r="E48" s="135">
        <v>0</v>
      </c>
      <c r="F48" s="119"/>
      <c r="G48" s="119"/>
      <c r="H48" s="119"/>
      <c r="I48" s="126"/>
      <c r="J48" s="127">
        <v>0</v>
      </c>
      <c r="K48" s="135">
        <v>0</v>
      </c>
      <c r="L48" s="136"/>
      <c r="M48" s="136"/>
      <c r="N48" s="3"/>
      <c r="O48" s="3"/>
      <c r="P48" s="127">
        <v>0</v>
      </c>
      <c r="Q48" s="135">
        <v>0</v>
      </c>
      <c r="R48" s="3"/>
      <c r="S48" s="3"/>
      <c r="T48" s="3"/>
      <c r="U48" s="3"/>
      <c r="V48" s="127">
        <v>0</v>
      </c>
      <c r="W48" s="135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34"/>
      <c r="C49" s="117"/>
      <c r="D49" s="119"/>
      <c r="E49" s="119"/>
      <c r="F49" s="119"/>
      <c r="G49" s="119"/>
      <c r="H49" s="119"/>
      <c r="I49" s="126"/>
      <c r="J49" s="119"/>
      <c r="K49" s="119"/>
      <c r="L49" s="119"/>
      <c r="M49" s="119"/>
      <c r="N49" s="119"/>
      <c r="O49" s="126"/>
      <c r="P49" s="126"/>
      <c r="Q49" s="126"/>
      <c r="R49" s="126"/>
      <c r="S49" s="126"/>
      <c r="T49" s="126"/>
      <c r="U49" s="126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1"/>
      <c r="B50" s="134"/>
      <c r="C50" s="137" t="s">
        <v>86</v>
      </c>
      <c r="D50" s="138" t="s">
        <v>87</v>
      </c>
      <c r="E50" s="138" t="s">
        <v>88</v>
      </c>
      <c r="F50" s="138" t="s">
        <v>89</v>
      </c>
      <c r="G50" s="138" t="s">
        <v>90</v>
      </c>
      <c r="H50" s="119"/>
      <c r="I50" s="3"/>
      <c r="J50" s="138" t="s">
        <v>87</v>
      </c>
      <c r="K50" s="138" t="s">
        <v>88</v>
      </c>
      <c r="L50" s="138" t="s">
        <v>89</v>
      </c>
      <c r="M50" s="138" t="s">
        <v>91</v>
      </c>
      <c r="N50" s="3"/>
      <c r="O50" s="3"/>
      <c r="P50" s="138" t="s">
        <v>87</v>
      </c>
      <c r="Q50" s="138" t="s">
        <v>88</v>
      </c>
      <c r="R50" s="138" t="s">
        <v>89</v>
      </c>
      <c r="S50" s="138" t="s">
        <v>308</v>
      </c>
      <c r="T50" s="3"/>
      <c r="U50" s="3"/>
      <c r="V50" s="138" t="s">
        <v>92</v>
      </c>
      <c r="W50" s="138" t="s">
        <v>88</v>
      </c>
      <c r="X50" s="138" t="s">
        <v>89</v>
      </c>
      <c r="Y50" s="138" t="s">
        <v>91</v>
      </c>
      <c r="Z50" s="3"/>
      <c r="AA50" s="3"/>
      <c r="AB50" s="3"/>
      <c r="AC50" s="3"/>
      <c r="AD50" s="3"/>
    </row>
    <row r="51" spans="1:30" x14ac:dyDescent="0.25">
      <c r="A51" s="1"/>
      <c r="B51" s="134"/>
      <c r="C51" s="139" t="s">
        <v>93</v>
      </c>
      <c r="D51" s="140">
        <f>SUM(D52:D55)</f>
        <v>8384.7000000000007</v>
      </c>
      <c r="E51" s="140">
        <f t="shared" ref="E51:F51" si="23">SUM(E52:E55)</f>
        <v>7948.5</v>
      </c>
      <c r="F51" s="140">
        <f t="shared" si="23"/>
        <v>7188.9</v>
      </c>
      <c r="G51" s="141">
        <f>D51+E51-F51</f>
        <v>9144.3000000000011</v>
      </c>
      <c r="H51" s="119"/>
      <c r="I51" s="3"/>
      <c r="J51" s="141">
        <f>G51+H51-I51</f>
        <v>9144.3000000000011</v>
      </c>
      <c r="K51" s="140">
        <f>SUM(K52:K55)</f>
        <v>1360.8</v>
      </c>
      <c r="L51" s="140">
        <f>SUM(L52:L55)</f>
        <v>7029.2</v>
      </c>
      <c r="M51" s="141">
        <f>J51+K51-L51</f>
        <v>3475.9000000000005</v>
      </c>
      <c r="N51" s="3"/>
      <c r="O51" s="3"/>
      <c r="P51" s="140">
        <f>SUM(P52:P55)</f>
        <v>9144.2999999999993</v>
      </c>
      <c r="Q51" s="140">
        <f t="shared" ref="Q51:R51" si="24">SUM(Q52:Q55)</f>
        <v>1526.6999999999998</v>
      </c>
      <c r="R51" s="140">
        <f t="shared" si="24"/>
        <v>1403.9</v>
      </c>
      <c r="S51" s="141">
        <f>P51+Q51-R51</f>
        <v>9267.1</v>
      </c>
      <c r="T51" s="3"/>
      <c r="U51" s="3"/>
      <c r="V51" s="141">
        <f>SUM(V52:V55)</f>
        <v>3475.9</v>
      </c>
      <c r="W51" s="141">
        <f t="shared" ref="W51:X51" si="25">SUM(W52:W55)</f>
        <v>4221.1000000000004</v>
      </c>
      <c r="X51" s="141">
        <f t="shared" si="25"/>
        <v>3020.5</v>
      </c>
      <c r="Y51" s="141">
        <f>V51+W51-X51</f>
        <v>4676.5</v>
      </c>
      <c r="Z51" s="3"/>
      <c r="AA51" s="3"/>
      <c r="AB51" s="3"/>
      <c r="AC51" s="3"/>
      <c r="AD51" s="3"/>
    </row>
    <row r="52" spans="1:30" x14ac:dyDescent="0.25">
      <c r="A52" s="1"/>
      <c r="B52" s="134"/>
      <c r="C52" s="139" t="s">
        <v>309</v>
      </c>
      <c r="D52" s="140">
        <v>7237.3</v>
      </c>
      <c r="E52" s="140">
        <v>6254.5</v>
      </c>
      <c r="F52" s="140">
        <v>5641.4</v>
      </c>
      <c r="G52" s="141">
        <f t="shared" ref="G52:G55" si="26">D52+E52-F52</f>
        <v>7850.4</v>
      </c>
      <c r="H52" s="119"/>
      <c r="I52" s="3"/>
      <c r="J52" s="141">
        <f t="shared" ref="J52:J55" si="27">G52+H52-I52</f>
        <v>7850.4</v>
      </c>
      <c r="K52" s="140">
        <v>280</v>
      </c>
      <c r="L52" s="140">
        <v>5814.2</v>
      </c>
      <c r="M52" s="141">
        <f t="shared" ref="M52:M55" si="28">J52+K52-L52</f>
        <v>2316.1999999999998</v>
      </c>
      <c r="N52" s="3"/>
      <c r="O52" s="3"/>
      <c r="P52" s="141">
        <v>7850.4</v>
      </c>
      <c r="Q52" s="140">
        <v>435.3</v>
      </c>
      <c r="R52" s="140">
        <v>375</v>
      </c>
      <c r="S52" s="141">
        <f t="shared" ref="S52:S55" si="29">P52+Q52-R52</f>
        <v>7910.6999999999989</v>
      </c>
      <c r="T52" s="3"/>
      <c r="U52" s="3"/>
      <c r="V52" s="141">
        <v>2316.1999999999998</v>
      </c>
      <c r="W52" s="140">
        <v>1500</v>
      </c>
      <c r="X52" s="140">
        <v>1200</v>
      </c>
      <c r="Y52" s="141">
        <f t="shared" ref="Y52:Y55" si="30">V52+W52-X52</f>
        <v>2616.1999999999998</v>
      </c>
      <c r="Z52" s="3"/>
      <c r="AA52" s="3"/>
      <c r="AB52" s="3"/>
      <c r="AC52" s="3"/>
      <c r="AD52" s="3"/>
    </row>
    <row r="53" spans="1:30" x14ac:dyDescent="0.25">
      <c r="A53" s="1"/>
      <c r="B53" s="134"/>
      <c r="C53" s="139" t="s">
        <v>95</v>
      </c>
      <c r="D53" s="140">
        <v>667.9</v>
      </c>
      <c r="E53" s="140">
        <v>1294.8</v>
      </c>
      <c r="F53" s="140">
        <v>1261.2</v>
      </c>
      <c r="G53" s="141">
        <f t="shared" si="26"/>
        <v>701.49999999999977</v>
      </c>
      <c r="H53" s="119"/>
      <c r="I53" s="3"/>
      <c r="J53" s="141">
        <f t="shared" si="27"/>
        <v>701.49999999999977</v>
      </c>
      <c r="K53" s="140">
        <v>683.3</v>
      </c>
      <c r="L53" s="140">
        <v>785</v>
      </c>
      <c r="M53" s="141">
        <f t="shared" si="28"/>
        <v>599.79999999999973</v>
      </c>
      <c r="N53" s="3"/>
      <c r="O53" s="3"/>
      <c r="P53" s="141">
        <v>701.5</v>
      </c>
      <c r="Q53" s="140">
        <v>854.3</v>
      </c>
      <c r="R53" s="140">
        <v>793.5</v>
      </c>
      <c r="S53" s="141">
        <f t="shared" si="29"/>
        <v>762.3</v>
      </c>
      <c r="T53" s="3"/>
      <c r="U53" s="3"/>
      <c r="V53" s="141">
        <v>599.79999999999995</v>
      </c>
      <c r="W53" s="140">
        <v>2276.1</v>
      </c>
      <c r="X53" s="140">
        <v>1300</v>
      </c>
      <c r="Y53" s="141">
        <f t="shared" si="30"/>
        <v>1575.8999999999996</v>
      </c>
      <c r="Z53" s="3"/>
      <c r="AA53" s="3"/>
      <c r="AB53" s="3"/>
      <c r="AC53" s="3"/>
      <c r="AD53" s="3"/>
    </row>
    <row r="54" spans="1:30" x14ac:dyDescent="0.25">
      <c r="A54" s="1"/>
      <c r="B54" s="134"/>
      <c r="C54" s="139" t="s">
        <v>96</v>
      </c>
      <c r="D54" s="140">
        <v>148.1</v>
      </c>
      <c r="E54" s="140">
        <v>58.8</v>
      </c>
      <c r="F54" s="140">
        <v>23.1</v>
      </c>
      <c r="G54" s="141">
        <f t="shared" si="26"/>
        <v>183.79999999999998</v>
      </c>
      <c r="H54" s="119"/>
      <c r="I54" s="3"/>
      <c r="J54" s="141">
        <f t="shared" si="27"/>
        <v>183.79999999999998</v>
      </c>
      <c r="K54" s="140">
        <v>35.5</v>
      </c>
      <c r="L54" s="140">
        <v>50</v>
      </c>
      <c r="M54" s="141">
        <f t="shared" si="28"/>
        <v>169.29999999999998</v>
      </c>
      <c r="N54" s="3"/>
      <c r="O54" s="3"/>
      <c r="P54" s="141">
        <v>183.8</v>
      </c>
      <c r="Q54" s="140">
        <v>71</v>
      </c>
      <c r="R54" s="140">
        <v>0</v>
      </c>
      <c r="S54" s="141">
        <f t="shared" si="29"/>
        <v>254.8</v>
      </c>
      <c r="T54" s="3"/>
      <c r="U54" s="3"/>
      <c r="V54" s="141">
        <v>169.3</v>
      </c>
      <c r="W54" s="140">
        <v>80</v>
      </c>
      <c r="X54" s="140">
        <v>100</v>
      </c>
      <c r="Y54" s="141">
        <f t="shared" si="30"/>
        <v>149.30000000000001</v>
      </c>
      <c r="Z54" s="3"/>
      <c r="AA54" s="3"/>
      <c r="AB54" s="3"/>
      <c r="AC54" s="3"/>
      <c r="AD54" s="3"/>
    </row>
    <row r="55" spans="1:30" x14ac:dyDescent="0.25">
      <c r="A55" s="1"/>
      <c r="B55" s="134"/>
      <c r="C55" s="142" t="s">
        <v>97</v>
      </c>
      <c r="D55" s="140">
        <v>331.4</v>
      </c>
      <c r="E55" s="140">
        <v>340.4</v>
      </c>
      <c r="F55" s="140">
        <v>263.2</v>
      </c>
      <c r="G55" s="141">
        <f t="shared" si="26"/>
        <v>408.59999999999997</v>
      </c>
      <c r="H55" s="119"/>
      <c r="I55" s="3"/>
      <c r="J55" s="141">
        <f t="shared" si="27"/>
        <v>408.59999999999997</v>
      </c>
      <c r="K55" s="140">
        <v>362</v>
      </c>
      <c r="L55" s="140">
        <v>380</v>
      </c>
      <c r="M55" s="141">
        <f t="shared" si="28"/>
        <v>390.59999999999991</v>
      </c>
      <c r="N55" s="3"/>
      <c r="O55" s="3"/>
      <c r="P55" s="141">
        <v>408.6</v>
      </c>
      <c r="Q55" s="140">
        <v>166.1</v>
      </c>
      <c r="R55" s="140">
        <v>235.4</v>
      </c>
      <c r="S55" s="141">
        <f t="shared" si="29"/>
        <v>339.30000000000007</v>
      </c>
      <c r="T55" s="3"/>
      <c r="U55" s="3"/>
      <c r="V55" s="141">
        <v>390.6</v>
      </c>
      <c r="W55" s="140">
        <v>365</v>
      </c>
      <c r="X55" s="140">
        <v>420.5</v>
      </c>
      <c r="Y55" s="141">
        <f t="shared" si="30"/>
        <v>335.1</v>
      </c>
      <c r="Z55" s="3"/>
      <c r="AA55" s="3"/>
      <c r="AB55" s="3"/>
      <c r="AC55" s="3"/>
      <c r="AD55" s="3"/>
    </row>
    <row r="56" spans="1:30" ht="10.5" customHeight="1" x14ac:dyDescent="0.25">
      <c r="A56" s="1"/>
      <c r="B56" s="134"/>
      <c r="C56" s="117"/>
      <c r="D56" s="119"/>
      <c r="E56" s="119"/>
      <c r="F56" s="119"/>
      <c r="G56" s="119"/>
      <c r="H56" s="11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34"/>
      <c r="C57" s="137" t="s">
        <v>98</v>
      </c>
      <c r="D57" s="138" t="s">
        <v>99</v>
      </c>
      <c r="E57" s="138" t="s">
        <v>100</v>
      </c>
      <c r="F57" s="119"/>
      <c r="G57" s="119"/>
      <c r="H57" s="119"/>
      <c r="I57" s="126"/>
      <c r="J57" s="138" t="s">
        <v>101</v>
      </c>
      <c r="K57" s="119"/>
      <c r="L57" s="119"/>
      <c r="M57" s="119"/>
      <c r="N57" s="119"/>
      <c r="O57" s="126"/>
      <c r="P57" s="138" t="s">
        <v>102</v>
      </c>
      <c r="Q57" s="126"/>
      <c r="R57" s="126"/>
      <c r="S57" s="3"/>
      <c r="T57" s="3"/>
      <c r="U57" s="3"/>
      <c r="V57" s="704" t="s">
        <v>98</v>
      </c>
      <c r="W57" s="704"/>
      <c r="X57" s="704"/>
      <c r="Y57" s="138" t="s">
        <v>101</v>
      </c>
      <c r="Z57" s="3"/>
      <c r="AA57" s="3"/>
      <c r="AB57" s="3"/>
      <c r="AC57" s="3"/>
      <c r="AD57" s="3"/>
    </row>
    <row r="58" spans="1:30" x14ac:dyDescent="0.25">
      <c r="A58" s="1"/>
      <c r="B58" s="134"/>
      <c r="C58" s="371" t="s">
        <v>128</v>
      </c>
      <c r="D58" s="372">
        <v>65.599999999999994</v>
      </c>
      <c r="E58" s="372">
        <v>65.8</v>
      </c>
      <c r="F58" s="119"/>
      <c r="G58" s="119"/>
      <c r="H58" s="119"/>
      <c r="I58" s="126"/>
      <c r="J58" s="143">
        <v>66.900000000000006</v>
      </c>
      <c r="K58" s="119"/>
      <c r="L58" s="119"/>
      <c r="M58" s="119"/>
      <c r="N58" s="119"/>
      <c r="O58" s="126"/>
      <c r="P58" s="143">
        <v>66.400000000000006</v>
      </c>
      <c r="Q58" s="126"/>
      <c r="R58" s="126"/>
      <c r="S58" s="3"/>
      <c r="T58" s="3"/>
      <c r="U58" s="3"/>
      <c r="V58" s="698" t="s">
        <v>128</v>
      </c>
      <c r="W58" s="698"/>
      <c r="X58" s="698"/>
      <c r="Y58" s="143">
        <v>66.900000000000006</v>
      </c>
      <c r="Z58" s="3"/>
      <c r="AA58" s="3"/>
      <c r="AB58" s="3"/>
      <c r="AC58" s="3"/>
      <c r="AD58" s="3"/>
    </row>
    <row r="59" spans="1:30" x14ac:dyDescent="0.25">
      <c r="A59" s="1"/>
      <c r="B59" s="134"/>
      <c r="C59" s="373"/>
      <c r="D59" s="374"/>
      <c r="E59" s="374"/>
      <c r="F59" s="119"/>
      <c r="G59" s="119"/>
      <c r="H59" s="119"/>
      <c r="I59" s="126"/>
      <c r="J59" s="130"/>
      <c r="K59" s="119"/>
      <c r="L59" s="119"/>
      <c r="M59" s="119"/>
      <c r="N59" s="119"/>
      <c r="O59" s="126"/>
      <c r="P59" s="130"/>
      <c r="Q59" s="126"/>
      <c r="R59" s="126"/>
      <c r="S59" s="3"/>
      <c r="T59" s="3"/>
      <c r="U59" s="3"/>
      <c r="V59" s="698" t="s">
        <v>129</v>
      </c>
      <c r="W59" s="698"/>
      <c r="X59" s="698"/>
      <c r="Y59" s="143">
        <v>17.5</v>
      </c>
      <c r="Z59" s="3"/>
      <c r="AA59" s="3"/>
      <c r="AB59" s="3"/>
      <c r="AC59" s="3"/>
      <c r="AD59" s="3"/>
    </row>
    <row r="60" spans="1:30" s="3" customFormat="1" x14ac:dyDescent="0.25">
      <c r="A60" s="1"/>
      <c r="B60" s="134"/>
      <c r="C60" s="117"/>
      <c r="D60" s="130"/>
      <c r="E60" s="130"/>
      <c r="F60" s="119"/>
      <c r="G60" s="119"/>
      <c r="H60" s="119"/>
      <c r="I60" s="126"/>
      <c r="J60" s="130"/>
      <c r="K60" s="119"/>
      <c r="L60" s="119"/>
      <c r="M60" s="119"/>
      <c r="N60" s="119"/>
      <c r="O60" s="126"/>
      <c r="P60" s="130"/>
      <c r="Q60" s="126"/>
      <c r="R60" s="126"/>
      <c r="S60" s="126"/>
      <c r="T60" s="126"/>
      <c r="U60" s="126"/>
      <c r="V60" s="130"/>
    </row>
    <row r="61" spans="1:30" x14ac:dyDescent="0.25">
      <c r="A61" s="1"/>
      <c r="B61" s="134"/>
      <c r="C61" s="117"/>
      <c r="D61" s="699"/>
      <c r="E61" s="699"/>
      <c r="F61" s="119"/>
      <c r="G61" s="119"/>
      <c r="H61" s="119"/>
      <c r="I61" s="126"/>
      <c r="J61" s="375"/>
      <c r="K61" s="119"/>
      <c r="L61" s="119"/>
      <c r="M61" s="119"/>
      <c r="N61" s="119"/>
      <c r="O61" s="126"/>
      <c r="P61" s="375"/>
      <c r="Q61" s="126"/>
      <c r="R61" s="126"/>
      <c r="S61" s="126"/>
      <c r="T61" s="126"/>
      <c r="U61" s="126"/>
      <c r="V61" s="700" t="s">
        <v>130</v>
      </c>
      <c r="W61" s="701"/>
      <c r="X61" s="702"/>
      <c r="Y61" s="143">
        <v>5650.5</v>
      </c>
      <c r="Z61" s="3"/>
      <c r="AA61" s="3"/>
      <c r="AB61" s="3"/>
      <c r="AC61" s="3"/>
      <c r="AD61" s="3"/>
    </row>
    <row r="62" spans="1:30" x14ac:dyDescent="0.25">
      <c r="A62" s="1"/>
      <c r="B62" s="134"/>
      <c r="C62" s="117"/>
      <c r="D62" s="375"/>
      <c r="E62" s="375"/>
      <c r="F62" s="119"/>
      <c r="G62" s="119"/>
      <c r="H62" s="119"/>
      <c r="I62" s="126"/>
      <c r="J62" s="375"/>
      <c r="K62" s="119"/>
      <c r="L62" s="119"/>
      <c r="M62" s="119"/>
      <c r="N62" s="119"/>
      <c r="O62" s="126"/>
      <c r="P62" s="375"/>
      <c r="Q62" s="126"/>
      <c r="R62" s="126"/>
      <c r="S62" s="126"/>
      <c r="T62" s="126"/>
      <c r="U62" s="126"/>
      <c r="V62" s="773" t="s">
        <v>310</v>
      </c>
      <c r="W62" s="774"/>
      <c r="X62" s="775"/>
      <c r="Y62" s="143">
        <v>1030.8</v>
      </c>
      <c r="Z62" s="3"/>
      <c r="AA62" s="3"/>
      <c r="AB62" s="3"/>
      <c r="AC62" s="3"/>
      <c r="AD62" s="3"/>
    </row>
    <row r="63" spans="1:30" x14ac:dyDescent="0.25">
      <c r="A63" s="1"/>
      <c r="B63" s="134"/>
      <c r="C63" s="117"/>
      <c r="D63" s="375"/>
      <c r="E63" s="375"/>
      <c r="F63" s="119"/>
      <c r="G63" s="119"/>
      <c r="H63" s="119"/>
      <c r="I63" s="126"/>
      <c r="J63" s="375"/>
      <c r="K63" s="119"/>
      <c r="L63" s="119"/>
      <c r="M63" s="119"/>
      <c r="N63" s="119"/>
      <c r="O63" s="126"/>
      <c r="P63" s="375"/>
      <c r="Q63" s="126"/>
      <c r="R63" s="126"/>
      <c r="S63" s="126"/>
      <c r="T63" s="126"/>
      <c r="U63" s="126"/>
      <c r="V63" s="773" t="s">
        <v>311</v>
      </c>
      <c r="W63" s="774"/>
      <c r="X63" s="775"/>
      <c r="Y63" s="143">
        <v>101.9</v>
      </c>
      <c r="Z63" s="3"/>
      <c r="AA63" s="3"/>
      <c r="AB63" s="3"/>
      <c r="AC63" s="3"/>
      <c r="AD63" s="3"/>
    </row>
    <row r="64" spans="1:30" x14ac:dyDescent="0.25">
      <c r="A64" s="1"/>
      <c r="B64" s="134"/>
      <c r="C64" s="117"/>
      <c r="D64" s="375"/>
      <c r="E64" s="375"/>
      <c r="F64" s="119"/>
      <c r="G64" s="119"/>
      <c r="H64" s="119"/>
      <c r="I64" s="126"/>
      <c r="J64" s="375"/>
      <c r="K64" s="119"/>
      <c r="L64" s="119"/>
      <c r="M64" s="119"/>
      <c r="N64" s="119"/>
      <c r="O64" s="126"/>
      <c r="P64" s="375"/>
      <c r="Q64" s="126"/>
      <c r="R64" s="126"/>
      <c r="S64" s="126"/>
      <c r="T64" s="126"/>
      <c r="U64" s="126"/>
      <c r="V64" s="776" t="s">
        <v>312</v>
      </c>
      <c r="W64" s="777"/>
      <c r="X64" s="778"/>
      <c r="Y64" s="569">
        <f>SUM(Y61:Y63)</f>
        <v>6783.2</v>
      </c>
      <c r="Z64" s="3"/>
      <c r="AA64" s="3"/>
      <c r="AB64" s="3"/>
      <c r="AC64" s="3"/>
      <c r="AD64" s="3"/>
    </row>
    <row r="65" spans="1:30" s="3" customFormat="1" x14ac:dyDescent="0.25">
      <c r="A65" s="1"/>
      <c r="B65" s="134"/>
      <c r="C65" s="117"/>
      <c r="D65" s="375"/>
      <c r="E65" s="375"/>
      <c r="F65" s="119"/>
      <c r="G65" s="119"/>
      <c r="H65" s="119"/>
      <c r="I65" s="126"/>
      <c r="J65" s="375"/>
      <c r="K65" s="119"/>
      <c r="L65" s="119"/>
      <c r="M65" s="119"/>
      <c r="N65" s="119"/>
      <c r="O65" s="126"/>
      <c r="P65" s="375"/>
      <c r="Q65" s="126"/>
      <c r="R65" s="126"/>
      <c r="S65" s="126"/>
      <c r="T65" s="126"/>
      <c r="U65" s="126"/>
      <c r="V65" s="130"/>
    </row>
    <row r="66" spans="1:30" x14ac:dyDescent="0.25">
      <c r="A66" s="1"/>
      <c r="B66" s="134"/>
      <c r="C66" s="3"/>
      <c r="D66" s="3"/>
      <c r="E66" s="3"/>
      <c r="F66" s="118"/>
      <c r="G66" s="119"/>
      <c r="H66" s="119"/>
      <c r="I66" s="126"/>
      <c r="J66" s="375"/>
      <c r="K66" s="375"/>
      <c r="L66" s="3"/>
      <c r="M66" s="376"/>
      <c r="N66" s="3"/>
      <c r="O66" s="3"/>
      <c r="P66" s="3"/>
      <c r="Q66" s="118"/>
      <c r="R66" s="3"/>
      <c r="S66" s="3"/>
      <c r="T66" s="3"/>
      <c r="U66" s="703" t="s">
        <v>131</v>
      </c>
      <c r="V66" s="703"/>
      <c r="W66" s="703"/>
      <c r="X66" s="703"/>
      <c r="Y66" s="377" t="s">
        <v>132</v>
      </c>
      <c r="Z66" s="3"/>
      <c r="AA66" s="378" t="s">
        <v>133</v>
      </c>
      <c r="AB66" s="379"/>
      <c r="AC66" s="3"/>
      <c r="AD66" s="4"/>
    </row>
    <row r="67" spans="1:30" x14ac:dyDescent="0.25">
      <c r="A67" s="1"/>
      <c r="B67" s="134"/>
      <c r="C67" s="3"/>
      <c r="D67" s="3"/>
      <c r="E67" s="3"/>
      <c r="F67" s="119"/>
      <c r="G67" s="119"/>
      <c r="H67" s="119"/>
      <c r="I67" s="126"/>
      <c r="J67" s="375"/>
      <c r="K67" s="375"/>
      <c r="L67" s="3"/>
      <c r="M67" s="376"/>
      <c r="N67" s="3"/>
      <c r="O67" s="3"/>
      <c r="P67" s="3"/>
      <c r="Q67" s="119"/>
      <c r="R67" s="3"/>
      <c r="S67" s="3"/>
      <c r="T67" s="3"/>
      <c r="U67" s="698" t="s">
        <v>134</v>
      </c>
      <c r="V67" s="698"/>
      <c r="W67" s="698"/>
      <c r="X67" s="698"/>
      <c r="Y67" s="380">
        <v>5575.1</v>
      </c>
      <c r="Z67" s="3"/>
      <c r="AA67" s="381" t="s">
        <v>135</v>
      </c>
      <c r="AB67" s="382">
        <v>313.2</v>
      </c>
      <c r="AC67" s="3"/>
      <c r="AD67" s="4"/>
    </row>
    <row r="68" spans="1:30" x14ac:dyDescent="0.25">
      <c r="A68" s="1"/>
      <c r="B68" s="134"/>
      <c r="C68" s="3"/>
      <c r="D68" s="3"/>
      <c r="E68" s="3"/>
      <c r="F68" s="119"/>
      <c r="G68" s="119"/>
      <c r="H68" s="119"/>
      <c r="I68" s="126"/>
      <c r="J68" s="375"/>
      <c r="K68" s="375"/>
      <c r="L68" s="3"/>
      <c r="M68" s="376"/>
      <c r="N68" s="3"/>
      <c r="O68" s="3"/>
      <c r="P68" s="3"/>
      <c r="Q68" s="119"/>
      <c r="R68" s="3"/>
      <c r="S68" s="3"/>
      <c r="T68" s="3"/>
      <c r="U68" s="698" t="s">
        <v>136</v>
      </c>
      <c r="V68" s="698"/>
      <c r="W68" s="698"/>
      <c r="X68" s="698"/>
      <c r="Y68" s="380">
        <v>2093.6999999999998</v>
      </c>
      <c r="Z68" s="3"/>
      <c r="AA68" s="381" t="s">
        <v>137</v>
      </c>
      <c r="AB68" s="382">
        <v>87.9</v>
      </c>
      <c r="AC68" s="3"/>
      <c r="AD68" s="4"/>
    </row>
    <row r="69" spans="1:30" x14ac:dyDescent="0.25">
      <c r="A69" s="1"/>
      <c r="B69" s="134"/>
      <c r="C69" s="3"/>
      <c r="D69" s="3"/>
      <c r="E69" s="3"/>
      <c r="F69" s="119"/>
      <c r="G69" s="119"/>
      <c r="H69" s="119"/>
      <c r="I69" s="126"/>
      <c r="J69" s="375"/>
      <c r="K69" s="375"/>
      <c r="L69" s="3"/>
      <c r="M69" s="376"/>
      <c r="N69" s="3"/>
      <c r="O69" s="3"/>
      <c r="P69" s="3"/>
      <c r="Q69" s="119"/>
      <c r="R69" s="3"/>
      <c r="S69" s="3"/>
      <c r="T69" s="3"/>
      <c r="U69" s="698" t="s">
        <v>230</v>
      </c>
      <c r="V69" s="698"/>
      <c r="W69" s="698"/>
      <c r="X69" s="698"/>
      <c r="Y69" s="380">
        <v>75.400000000000006</v>
      </c>
      <c r="Z69" s="3"/>
      <c r="AA69" s="381" t="s">
        <v>139</v>
      </c>
      <c r="AB69" s="382">
        <v>1003.2</v>
      </c>
      <c r="AC69" s="3"/>
      <c r="AD69" s="4"/>
    </row>
    <row r="70" spans="1:30" x14ac:dyDescent="0.25">
      <c r="A70" s="3"/>
      <c r="B70" s="3"/>
      <c r="C70" s="3"/>
      <c r="D70" s="3"/>
      <c r="E70" s="3"/>
      <c r="F70" s="120"/>
      <c r="G70" s="3"/>
      <c r="H70" s="3"/>
      <c r="I70" s="3"/>
      <c r="J70" s="120"/>
      <c r="K70" s="120"/>
      <c r="L70" s="3"/>
      <c r="M70" s="376"/>
      <c r="N70" s="3"/>
      <c r="O70" s="3"/>
      <c r="P70" s="3"/>
      <c r="Q70" s="3"/>
      <c r="R70" s="3"/>
      <c r="S70" s="3"/>
      <c r="T70" s="3"/>
      <c r="U70" s="698" t="s">
        <v>140</v>
      </c>
      <c r="V70" s="698"/>
      <c r="W70" s="698"/>
      <c r="X70" s="698"/>
      <c r="Y70" s="380">
        <v>56.5</v>
      </c>
      <c r="Z70" s="3"/>
      <c r="AA70" s="3"/>
      <c r="AB70" s="3"/>
      <c r="AC70" s="3"/>
      <c r="AD70" s="4"/>
    </row>
    <row r="71" spans="1:30" x14ac:dyDescent="0.25">
      <c r="A71" s="1"/>
      <c r="B71" s="134"/>
      <c r="C71" s="3"/>
      <c r="D71" s="3"/>
      <c r="E71" s="3"/>
      <c r="F71" s="119"/>
      <c r="G71" s="119"/>
      <c r="H71" s="119"/>
      <c r="I71" s="126"/>
      <c r="J71" s="136"/>
      <c r="K71" s="136"/>
      <c r="L71" s="3"/>
      <c r="M71" s="376"/>
      <c r="N71" s="3"/>
      <c r="O71" s="3"/>
      <c r="P71" s="3"/>
      <c r="Q71" s="119"/>
      <c r="R71" s="3"/>
      <c r="S71" s="3"/>
      <c r="T71" s="3"/>
      <c r="U71" s="698" t="s">
        <v>141</v>
      </c>
      <c r="V71" s="698"/>
      <c r="W71" s="698"/>
      <c r="X71" s="698"/>
      <c r="Y71" s="477">
        <f>SUM(Y72:Y75)</f>
        <v>699.2</v>
      </c>
      <c r="Z71" s="3"/>
      <c r="AA71" s="3"/>
      <c r="AB71" s="3"/>
      <c r="AC71" s="3"/>
      <c r="AD71" s="4"/>
    </row>
    <row r="72" spans="1:30" x14ac:dyDescent="0.25">
      <c r="A72" s="1"/>
      <c r="B72" s="134"/>
      <c r="C72" s="3"/>
      <c r="D72" s="3"/>
      <c r="E72" s="3"/>
      <c r="F72" s="119"/>
      <c r="G72" s="119"/>
      <c r="H72" s="119"/>
      <c r="I72" s="126"/>
      <c r="J72" s="375"/>
      <c r="K72" s="375"/>
      <c r="L72" s="3"/>
      <c r="M72" s="376"/>
      <c r="N72" s="3"/>
      <c r="O72" s="3"/>
      <c r="P72" s="3"/>
      <c r="Q72" s="119"/>
      <c r="R72" s="3"/>
      <c r="S72" s="3"/>
      <c r="T72" s="3"/>
      <c r="U72" s="697" t="s">
        <v>142</v>
      </c>
      <c r="V72" s="697"/>
      <c r="W72" s="697"/>
      <c r="X72" s="697"/>
      <c r="Y72" s="380">
        <v>250</v>
      </c>
      <c r="Z72" s="3"/>
      <c r="AA72" s="3"/>
      <c r="AB72" s="3"/>
      <c r="AC72" s="3"/>
      <c r="AD72" s="4"/>
    </row>
    <row r="73" spans="1:30" x14ac:dyDescent="0.25">
      <c r="A73" s="1"/>
      <c r="B73" s="134"/>
      <c r="C73" s="3"/>
      <c r="D73" s="3"/>
      <c r="E73" s="3"/>
      <c r="F73" s="119"/>
      <c r="G73" s="119"/>
      <c r="H73" s="119"/>
      <c r="I73" s="126"/>
      <c r="J73" s="375"/>
      <c r="K73" s="375"/>
      <c r="L73" s="3"/>
      <c r="M73" s="376"/>
      <c r="N73" s="3"/>
      <c r="O73" s="3"/>
      <c r="P73" s="3"/>
      <c r="Q73" s="119"/>
      <c r="R73" s="3"/>
      <c r="S73" s="3"/>
      <c r="T73" s="3"/>
      <c r="U73" s="697" t="s">
        <v>143</v>
      </c>
      <c r="V73" s="697"/>
      <c r="W73" s="697"/>
      <c r="X73" s="697"/>
      <c r="Y73" s="380">
        <v>70</v>
      </c>
      <c r="Z73" s="3"/>
      <c r="AA73" s="3"/>
      <c r="AB73" s="3"/>
      <c r="AC73" s="3"/>
      <c r="AD73" s="4"/>
    </row>
    <row r="74" spans="1:30" x14ac:dyDescent="0.25">
      <c r="A74" s="1"/>
      <c r="B74" s="134"/>
      <c r="C74" s="3"/>
      <c r="D74" s="3"/>
      <c r="E74" s="3"/>
      <c r="F74" s="119"/>
      <c r="G74" s="119"/>
      <c r="H74" s="119"/>
      <c r="I74" s="126"/>
      <c r="J74" s="375"/>
      <c r="K74" s="375"/>
      <c r="L74" s="3"/>
      <c r="M74" s="376"/>
      <c r="N74" s="3"/>
      <c r="O74" s="3"/>
      <c r="P74" s="3"/>
      <c r="Q74" s="119"/>
      <c r="R74" s="3"/>
      <c r="S74" s="3"/>
      <c r="T74" s="3"/>
      <c r="U74" s="697" t="s">
        <v>144</v>
      </c>
      <c r="V74" s="697"/>
      <c r="W74" s="697"/>
      <c r="X74" s="697"/>
      <c r="Y74" s="380">
        <v>30</v>
      </c>
      <c r="Z74" s="3"/>
      <c r="AA74" s="3"/>
      <c r="AB74" s="3"/>
      <c r="AC74" s="3"/>
      <c r="AD74" s="4"/>
    </row>
    <row r="75" spans="1:30" x14ac:dyDescent="0.25">
      <c r="A75" s="1"/>
      <c r="B75" s="134"/>
      <c r="C75" s="3"/>
      <c r="D75" s="3"/>
      <c r="E75" s="3"/>
      <c r="F75" s="119"/>
      <c r="G75" s="119"/>
      <c r="H75" s="119"/>
      <c r="I75" s="126"/>
      <c r="J75" s="375"/>
      <c r="K75" s="375"/>
      <c r="L75" s="3"/>
      <c r="M75" s="376"/>
      <c r="N75" s="3"/>
      <c r="O75" s="3"/>
      <c r="P75" s="3"/>
      <c r="Q75" s="119"/>
      <c r="R75" s="3"/>
      <c r="S75" s="3"/>
      <c r="T75" s="3"/>
      <c r="U75" s="697" t="s">
        <v>145</v>
      </c>
      <c r="V75" s="697"/>
      <c r="W75" s="697"/>
      <c r="X75" s="697"/>
      <c r="Y75" s="380">
        <v>349.2</v>
      </c>
      <c r="Z75" s="3"/>
      <c r="AA75" s="3"/>
      <c r="AB75" s="3"/>
      <c r="AC75" s="3"/>
      <c r="AD75" s="4"/>
    </row>
    <row r="76" spans="1:30" x14ac:dyDescent="0.25">
      <c r="A76" s="1"/>
      <c r="B76" s="134"/>
      <c r="C76" s="383"/>
      <c r="D76" s="119"/>
      <c r="E76" s="119"/>
      <c r="F76" s="119"/>
      <c r="G76" s="119"/>
      <c r="H76" s="119"/>
      <c r="I76" s="126"/>
      <c r="J76" s="119"/>
      <c r="K76" s="119"/>
      <c r="L76" s="3"/>
      <c r="M76" s="376"/>
      <c r="N76" s="3"/>
      <c r="O76" s="3"/>
      <c r="P76" s="3"/>
      <c r="Q76" s="384"/>
      <c r="R76" s="3"/>
      <c r="S76" s="3"/>
      <c r="T76" s="3"/>
      <c r="U76" s="126"/>
      <c r="V76" s="126"/>
      <c r="W76" s="126"/>
      <c r="X76" s="119"/>
      <c r="Y76" s="119">
        <f>SUM(Y67:Y71)</f>
        <v>8499.9</v>
      </c>
      <c r="Z76" s="3"/>
      <c r="AA76" s="3"/>
      <c r="AB76" s="3"/>
      <c r="AC76" s="3"/>
      <c r="AD76" s="4"/>
    </row>
    <row r="77" spans="1:30" x14ac:dyDescent="0.25">
      <c r="A77" s="1"/>
      <c r="B77" s="134"/>
      <c r="C77" s="117"/>
      <c r="D77" s="119"/>
      <c r="E77" s="119"/>
      <c r="F77" s="119"/>
      <c r="G77" s="119"/>
      <c r="H77" s="119"/>
      <c r="I77" s="126"/>
      <c r="J77" s="119"/>
      <c r="K77" s="119"/>
      <c r="L77" s="119"/>
      <c r="M77" s="119"/>
      <c r="N77" s="119"/>
      <c r="O77" s="126"/>
      <c r="P77" s="119"/>
      <c r="Q77" s="119"/>
      <c r="R77" s="119"/>
      <c r="S77" s="126"/>
      <c r="T77" s="126"/>
      <c r="U77" s="126"/>
      <c r="V77" s="119"/>
      <c r="W77" s="119"/>
      <c r="X77" s="119"/>
      <c r="Y77" s="3"/>
      <c r="Z77" s="3"/>
      <c r="AA77" s="3"/>
      <c r="AB77" s="3"/>
      <c r="AC77" s="3"/>
      <c r="AD77" s="3"/>
    </row>
    <row r="78" spans="1:30" x14ac:dyDescent="0.25">
      <c r="A78" s="1"/>
      <c r="B78" s="144" t="s">
        <v>103</v>
      </c>
      <c r="C78" s="145"/>
      <c r="D78" s="585"/>
      <c r="E78" s="585"/>
      <c r="F78" s="585"/>
      <c r="G78" s="585"/>
      <c r="H78" s="585"/>
      <c r="I78" s="585"/>
      <c r="J78" s="585"/>
      <c r="K78" s="585"/>
      <c r="L78" s="585"/>
      <c r="M78" s="585"/>
      <c r="N78" s="585"/>
      <c r="O78" s="585"/>
      <c r="P78" s="585"/>
      <c r="Q78" s="585"/>
      <c r="R78" s="585"/>
      <c r="S78" s="585"/>
      <c r="T78" s="585"/>
      <c r="U78" s="585"/>
      <c r="V78" s="146"/>
      <c r="W78" s="146"/>
      <c r="X78" s="146"/>
      <c r="Y78" s="146"/>
      <c r="Z78" s="146"/>
      <c r="AA78" s="146"/>
      <c r="AB78" s="147"/>
      <c r="AC78" s="3"/>
      <c r="AD78" s="3"/>
    </row>
    <row r="79" spans="1:30" x14ac:dyDescent="0.25">
      <c r="A79" s="1"/>
      <c r="B79" s="148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49"/>
      <c r="AC79" s="3"/>
      <c r="AD79" s="3"/>
    </row>
    <row r="80" spans="1:30" x14ac:dyDescent="0.25">
      <c r="A80" s="1"/>
      <c r="B80" s="575" t="s">
        <v>313</v>
      </c>
      <c r="C80" s="576"/>
      <c r="D80" s="576"/>
      <c r="E80" s="576"/>
      <c r="F80" s="576"/>
      <c r="G80" s="576"/>
      <c r="H80" s="576"/>
      <c r="I80" s="576"/>
      <c r="J80" s="576"/>
      <c r="K80" s="576"/>
      <c r="L80" s="576"/>
      <c r="M80" s="576"/>
      <c r="N80" s="576"/>
      <c r="O80" s="576"/>
      <c r="P80" s="576"/>
      <c r="Q80" s="576"/>
      <c r="R80" s="576"/>
      <c r="S80" s="576"/>
      <c r="T80" s="576"/>
      <c r="U80" s="576"/>
      <c r="V80" s="121"/>
      <c r="W80" s="121"/>
      <c r="X80" s="121"/>
      <c r="Y80" s="121"/>
      <c r="Z80" s="121"/>
      <c r="AA80" s="121"/>
      <c r="AB80" s="149"/>
      <c r="AC80" s="3"/>
      <c r="AD80" s="3"/>
    </row>
    <row r="81" spans="1:30" x14ac:dyDescent="0.25">
      <c r="A81" s="1"/>
      <c r="B81" s="150" t="s">
        <v>314</v>
      </c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21"/>
      <c r="W81" s="121"/>
      <c r="X81" s="121"/>
      <c r="Y81" s="121"/>
      <c r="Z81" s="121"/>
      <c r="AA81" s="121"/>
      <c r="AB81" s="149"/>
      <c r="AC81" s="3"/>
      <c r="AD81" s="3"/>
    </row>
    <row r="82" spans="1:30" x14ac:dyDescent="0.25">
      <c r="A82" s="1"/>
      <c r="B82" s="575" t="s">
        <v>315</v>
      </c>
      <c r="C82" s="576"/>
      <c r="D82" s="576"/>
      <c r="E82" s="576"/>
      <c r="F82" s="576"/>
      <c r="G82" s="576"/>
      <c r="H82" s="576"/>
      <c r="I82" s="576"/>
      <c r="J82" s="576"/>
      <c r="K82" s="576"/>
      <c r="L82" s="576"/>
      <c r="M82" s="576"/>
      <c r="N82" s="576"/>
      <c r="O82" s="576"/>
      <c r="P82" s="576"/>
      <c r="Q82" s="576"/>
      <c r="R82" s="576"/>
      <c r="S82" s="576"/>
      <c r="T82" s="576"/>
      <c r="U82" s="576"/>
      <c r="V82" s="121"/>
      <c r="W82" s="121"/>
      <c r="X82" s="121"/>
      <c r="Y82" s="121"/>
      <c r="Z82" s="121"/>
      <c r="AA82" s="121"/>
      <c r="AB82" s="149"/>
      <c r="AC82" s="3"/>
      <c r="AD82" s="3"/>
    </row>
    <row r="83" spans="1:30" x14ac:dyDescent="0.25">
      <c r="A83" s="1"/>
      <c r="B83" s="150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21"/>
      <c r="W83" s="121"/>
      <c r="X83" s="121"/>
      <c r="Y83" s="121"/>
      <c r="Z83" s="121"/>
      <c r="AA83" s="121"/>
      <c r="AB83" s="149"/>
      <c r="AC83" s="3"/>
      <c r="AD83" s="3"/>
    </row>
    <row r="84" spans="1:30" x14ac:dyDescent="0.25">
      <c r="A84" s="1"/>
      <c r="B84" s="150" t="s">
        <v>316</v>
      </c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21"/>
      <c r="W84" s="121"/>
      <c r="X84" s="121"/>
      <c r="Y84" s="121"/>
      <c r="Z84" s="121"/>
      <c r="AA84" s="121"/>
      <c r="AB84" s="149"/>
      <c r="AC84" s="3"/>
      <c r="AD84" s="3"/>
    </row>
    <row r="85" spans="1:30" x14ac:dyDescent="0.25">
      <c r="A85" s="1"/>
      <c r="B85" s="150" t="s">
        <v>317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21"/>
      <c r="W85" s="121"/>
      <c r="X85" s="121"/>
      <c r="Y85" s="121"/>
      <c r="Z85" s="121"/>
      <c r="AA85" s="121"/>
      <c r="AB85" s="149"/>
      <c r="AC85" s="3"/>
      <c r="AD85" s="3"/>
    </row>
    <row r="86" spans="1:30" x14ac:dyDescent="0.25">
      <c r="A86" s="1"/>
      <c r="B86" s="575"/>
      <c r="C86" s="576"/>
      <c r="D86" s="576"/>
      <c r="E86" s="576"/>
      <c r="F86" s="576"/>
      <c r="G86" s="576"/>
      <c r="H86" s="576"/>
      <c r="I86" s="576"/>
      <c r="J86" s="576"/>
      <c r="K86" s="576"/>
      <c r="L86" s="576"/>
      <c r="M86" s="576"/>
      <c r="N86" s="576"/>
      <c r="O86" s="576"/>
      <c r="P86" s="576"/>
      <c r="Q86" s="576"/>
      <c r="R86" s="576"/>
      <c r="S86" s="576"/>
      <c r="T86" s="576"/>
      <c r="U86" s="576"/>
      <c r="V86" s="121"/>
      <c r="W86" s="121"/>
      <c r="X86" s="121"/>
      <c r="Y86" s="121"/>
      <c r="Z86" s="121"/>
      <c r="AA86" s="121"/>
      <c r="AB86" s="149"/>
      <c r="AC86" s="3"/>
      <c r="AD86" s="3"/>
    </row>
    <row r="87" spans="1:30" x14ac:dyDescent="0.25">
      <c r="A87" s="1"/>
      <c r="B87" s="150" t="s">
        <v>318</v>
      </c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21"/>
      <c r="W87" s="121"/>
      <c r="X87" s="121"/>
      <c r="Y87" s="121"/>
      <c r="Z87" s="121"/>
      <c r="AA87" s="121"/>
      <c r="AB87" s="149"/>
      <c r="AC87" s="3"/>
      <c r="AD87" s="3"/>
    </row>
    <row r="88" spans="1:30" x14ac:dyDescent="0.25">
      <c r="A88" s="1"/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21"/>
      <c r="W88" s="121"/>
      <c r="X88" s="121"/>
      <c r="Y88" s="121"/>
      <c r="Z88" s="121"/>
      <c r="AA88" s="121"/>
      <c r="AB88" s="149"/>
      <c r="AC88" s="3"/>
      <c r="AD88" s="3"/>
    </row>
    <row r="89" spans="1:30" x14ac:dyDescent="0.25">
      <c r="A89" s="1"/>
      <c r="B89" s="150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21"/>
      <c r="W89" s="121"/>
      <c r="X89" s="121"/>
      <c r="Y89" s="121"/>
      <c r="Z89" s="121"/>
      <c r="AA89" s="121"/>
      <c r="AB89" s="149"/>
      <c r="AC89" s="3"/>
      <c r="AD89" s="3"/>
    </row>
    <row r="90" spans="1:30" x14ac:dyDescent="0.25">
      <c r="A90" s="1"/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21"/>
      <c r="W90" s="121"/>
      <c r="X90" s="121"/>
      <c r="Y90" s="121"/>
      <c r="Z90" s="121"/>
      <c r="AA90" s="121"/>
      <c r="AB90" s="149"/>
      <c r="AC90" s="3"/>
      <c r="AD90" s="3"/>
    </row>
    <row r="91" spans="1:30" x14ac:dyDescent="0.25">
      <c r="A91" s="1"/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21"/>
      <c r="W91" s="121"/>
      <c r="X91" s="121"/>
      <c r="Y91" s="121"/>
      <c r="Z91" s="121"/>
      <c r="AA91" s="121"/>
      <c r="AB91" s="149"/>
      <c r="AC91" s="3"/>
      <c r="AD91" s="3"/>
    </row>
    <row r="92" spans="1:30" x14ac:dyDescent="0.25">
      <c r="A92" s="1"/>
      <c r="B92" s="150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21"/>
      <c r="W92" s="121"/>
      <c r="X92" s="121"/>
      <c r="Y92" s="121"/>
      <c r="Z92" s="121"/>
      <c r="AA92" s="121"/>
      <c r="AB92" s="149"/>
      <c r="AC92" s="3"/>
      <c r="AD92" s="3"/>
    </row>
    <row r="93" spans="1:30" x14ac:dyDescent="0.25">
      <c r="A93" s="1"/>
      <c r="B93" s="150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21"/>
      <c r="W93" s="121"/>
      <c r="X93" s="121"/>
      <c r="Y93" s="121"/>
      <c r="Z93" s="121"/>
      <c r="AA93" s="121"/>
      <c r="AB93" s="149"/>
      <c r="AC93" s="3"/>
      <c r="AD93" s="3"/>
    </row>
    <row r="94" spans="1:30" x14ac:dyDescent="0.25">
      <c r="A94" s="1"/>
      <c r="B94" s="150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21"/>
      <c r="W94" s="121"/>
      <c r="X94" s="121"/>
      <c r="Y94" s="121"/>
      <c r="Z94" s="121"/>
      <c r="AA94" s="121"/>
      <c r="AB94" s="149"/>
      <c r="AC94" s="3"/>
      <c r="AD94" s="3"/>
    </row>
    <row r="95" spans="1:30" x14ac:dyDescent="0.25">
      <c r="A95" s="1"/>
      <c r="B95" s="150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21"/>
      <c r="W95" s="121"/>
      <c r="X95" s="121"/>
      <c r="Y95" s="121"/>
      <c r="Z95" s="121"/>
      <c r="AA95" s="121"/>
      <c r="AB95" s="149"/>
      <c r="AC95" s="3"/>
      <c r="AD95" s="3"/>
    </row>
    <row r="96" spans="1:30" x14ac:dyDescent="0.25">
      <c r="A96" s="1"/>
      <c r="B96" s="150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21"/>
      <c r="W96" s="121"/>
      <c r="X96" s="121"/>
      <c r="Y96" s="121"/>
      <c r="Z96" s="121"/>
      <c r="AA96" s="121"/>
      <c r="AB96" s="149"/>
      <c r="AC96" s="3"/>
      <c r="AD96" s="3"/>
    </row>
    <row r="97" spans="1:30" x14ac:dyDescent="0.25">
      <c r="A97" s="1"/>
      <c r="B97" s="158"/>
      <c r="C97" s="159"/>
      <c r="D97" s="160"/>
      <c r="E97" s="160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2"/>
      <c r="W97" s="162"/>
      <c r="X97" s="162"/>
      <c r="Y97" s="162"/>
      <c r="Z97" s="162"/>
      <c r="AA97" s="162"/>
      <c r="AB97" s="163"/>
      <c r="AC97" s="3"/>
      <c r="AD97" s="3"/>
    </row>
    <row r="98" spans="1:30" x14ac:dyDescent="0.25">
      <c r="A98" s="115"/>
      <c r="B98" s="164"/>
      <c r="C98" s="165"/>
      <c r="D98" s="164"/>
      <c r="E98" s="164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115"/>
      <c r="B99" s="164"/>
      <c r="C99" s="165"/>
      <c r="D99" s="164"/>
      <c r="E99" s="164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1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1"/>
      <c r="B101" s="167" t="s">
        <v>104</v>
      </c>
      <c r="C101" s="168">
        <v>45876</v>
      </c>
      <c r="D101" s="167" t="s">
        <v>105</v>
      </c>
      <c r="E101" s="576" t="s">
        <v>319</v>
      </c>
      <c r="F101" s="576"/>
      <c r="G101" s="576"/>
      <c r="H101" s="167"/>
      <c r="I101" s="167" t="s">
        <v>107</v>
      </c>
      <c r="J101" s="577" t="s">
        <v>320</v>
      </c>
      <c r="K101" s="577"/>
      <c r="L101" s="577"/>
      <c r="M101" s="577"/>
      <c r="N101" s="167"/>
      <c r="O101" s="167"/>
      <c r="P101" s="167"/>
      <c r="Q101" s="167"/>
      <c r="R101" s="167"/>
      <c r="S101" s="167"/>
      <c r="T101" s="167"/>
      <c r="U101" s="167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7.5" customHeight="1" x14ac:dyDescent="0.25">
      <c r="A102" s="1"/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x14ac:dyDescent="0.25">
      <c r="A103" s="1"/>
      <c r="B103" s="167"/>
      <c r="C103" s="167"/>
      <c r="D103" s="167" t="s">
        <v>109</v>
      </c>
      <c r="E103" s="169"/>
      <c r="F103" s="169"/>
      <c r="G103" s="169"/>
      <c r="H103" s="167"/>
      <c r="I103" s="167" t="s">
        <v>109</v>
      </c>
      <c r="J103" s="170"/>
      <c r="K103" s="170"/>
      <c r="L103" s="170"/>
      <c r="M103" s="170"/>
      <c r="N103" s="167"/>
      <c r="O103" s="167"/>
      <c r="P103" s="167"/>
      <c r="Q103" s="167"/>
      <c r="R103" s="167"/>
      <c r="S103" s="167"/>
      <c r="T103" s="167"/>
      <c r="U103" s="167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x14ac:dyDescent="0.25">
      <c r="A104" s="1"/>
      <c r="B104" s="167"/>
      <c r="C104" s="167"/>
      <c r="D104" s="167"/>
      <c r="E104" s="169"/>
      <c r="F104" s="169"/>
      <c r="G104" s="169"/>
      <c r="H104" s="167"/>
      <c r="I104" s="167"/>
      <c r="J104" s="170"/>
      <c r="K104" s="170"/>
      <c r="L104" s="170"/>
      <c r="M104" s="170"/>
      <c r="N104" s="167"/>
      <c r="O104" s="167"/>
      <c r="P104" s="167"/>
      <c r="Q104" s="167"/>
      <c r="R104" s="167"/>
      <c r="S104" s="167"/>
      <c r="T104" s="167"/>
      <c r="U104" s="167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x14ac:dyDescent="0.25">
      <c r="A105" s="1"/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x14ac:dyDescent="0.25">
      <c r="A106" s="1"/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idden="1" x14ac:dyDescent="0.25">
      <c r="AC107" s="4"/>
      <c r="AD107" s="4"/>
    </row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t="15" hidden="1" customHeight="1" x14ac:dyDescent="0.25"/>
    <row r="138" ht="15" hidden="1" customHeight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x14ac:dyDescent="0.25"/>
    <row r="301" x14ac:dyDescent="0.25"/>
  </sheetData>
  <mergeCells count="82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6:AB28"/>
    <mergeCell ref="J27:L27"/>
    <mergeCell ref="M27:M28"/>
    <mergeCell ref="N27:N28"/>
    <mergeCell ref="O27:O28"/>
    <mergeCell ref="AA13:AA14"/>
    <mergeCell ref="D26:I26"/>
    <mergeCell ref="J26:O26"/>
    <mergeCell ref="P26:U26"/>
    <mergeCell ref="V26:AA26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27:B28"/>
    <mergeCell ref="C27:C28"/>
    <mergeCell ref="D27:F27"/>
    <mergeCell ref="G27:G28"/>
    <mergeCell ref="H27:H28"/>
    <mergeCell ref="V58:X58"/>
    <mergeCell ref="P27:R27"/>
    <mergeCell ref="S27:S28"/>
    <mergeCell ref="T27:T28"/>
    <mergeCell ref="U27:U28"/>
    <mergeCell ref="V27:X27"/>
    <mergeCell ref="Z27:Z28"/>
    <mergeCell ref="AA27:AA28"/>
    <mergeCell ref="C44:C45"/>
    <mergeCell ref="C47:C48"/>
    <mergeCell ref="V57:X57"/>
    <mergeCell ref="Y27:Y28"/>
    <mergeCell ref="I27:I28"/>
    <mergeCell ref="U71:X71"/>
    <mergeCell ref="V59:X59"/>
    <mergeCell ref="D61:E61"/>
    <mergeCell ref="V61:X61"/>
    <mergeCell ref="V62:X62"/>
    <mergeCell ref="V63:X63"/>
    <mergeCell ref="V64:X64"/>
    <mergeCell ref="U66:X66"/>
    <mergeCell ref="U67:X67"/>
    <mergeCell ref="U68:X68"/>
    <mergeCell ref="U69:X69"/>
    <mergeCell ref="U70:X70"/>
    <mergeCell ref="B82:U82"/>
    <mergeCell ref="B86:U86"/>
    <mergeCell ref="E101:G101"/>
    <mergeCell ref="J101:M101"/>
    <mergeCell ref="U72:X72"/>
    <mergeCell ref="U73:X73"/>
    <mergeCell ref="U74:X74"/>
    <mergeCell ref="U75:X75"/>
    <mergeCell ref="D78:U78"/>
    <mergeCell ref="B80:U80"/>
  </mergeCells>
  <conditionalFormatting sqref="AB15:AB26 AB29:AB42">
    <cfRule type="cellIs" dxfId="5" priority="1" operator="equal">
      <formula>0</formula>
    </cfRule>
    <cfRule type="containsErrors" dxfId="4" priority="2">
      <formula>ISERROR(AB15)</formula>
    </cfRule>
  </conditionalFormatting>
  <pageMargins left="0" right="0" top="0.78740157480314965" bottom="0.78740157480314965" header="0.31496062992125984" footer="0.31496062992125984"/>
  <pageSetup paperSize="8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rgb="FFFF0000"/>
    <pageSetUpPr fitToPage="1"/>
  </sheetPr>
  <dimension ref="A1:AD299"/>
  <sheetViews>
    <sheetView showGridLines="0" zoomScale="80" zoomScaleNormal="80" zoomScaleSheetLayoutView="80" workbookViewId="0">
      <selection activeCell="I42" sqref="I4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customWidth="1"/>
    <col min="6" max="6" width="16.85546875" customWidth="1"/>
    <col min="7" max="7" width="21.28515625" customWidth="1"/>
    <col min="8" max="8" width="14.140625" customWidth="1"/>
    <col min="9" max="9" width="11.28515625" customWidth="1"/>
    <col min="10" max="10" width="16.140625" customWidth="1"/>
    <col min="11" max="11" width="17.85546875" customWidth="1"/>
    <col min="12" max="12" width="17.28515625" customWidth="1"/>
    <col min="13" max="13" width="23.42578125" style="17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24" t="s">
        <v>321</v>
      </c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328">
        <v>46789677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7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5</v>
      </c>
      <c r="C8" s="1"/>
      <c r="D8" s="717" t="s">
        <v>322</v>
      </c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5"/>
      <c r="U8" s="625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626" t="s">
        <v>7</v>
      </c>
      <c r="C10" s="592" t="s">
        <v>8</v>
      </c>
      <c r="D10" s="631" t="s">
        <v>9</v>
      </c>
      <c r="E10" s="632"/>
      <c r="F10" s="632"/>
      <c r="G10" s="632"/>
      <c r="H10" s="632"/>
      <c r="I10" s="633"/>
      <c r="J10" s="631" t="s">
        <v>166</v>
      </c>
      <c r="K10" s="632"/>
      <c r="L10" s="632"/>
      <c r="M10" s="632"/>
      <c r="N10" s="632"/>
      <c r="O10" s="633"/>
      <c r="P10" s="631" t="s">
        <v>11</v>
      </c>
      <c r="Q10" s="632"/>
      <c r="R10" s="632"/>
      <c r="S10" s="632"/>
      <c r="T10" s="632"/>
      <c r="U10" s="633"/>
      <c r="V10" s="631" t="s">
        <v>12</v>
      </c>
      <c r="W10" s="632"/>
      <c r="X10" s="632"/>
      <c r="Y10" s="632"/>
      <c r="Z10" s="632"/>
      <c r="AA10" s="633"/>
      <c r="AB10" s="615" t="s">
        <v>13</v>
      </c>
      <c r="AC10" s="3"/>
      <c r="AD10" s="3"/>
    </row>
    <row r="11" spans="1:30" ht="30.75" customHeight="1" thickBot="1" x14ac:dyDescent="0.3">
      <c r="A11" s="1"/>
      <c r="B11" s="627"/>
      <c r="C11" s="593"/>
      <c r="D11" s="618" t="s">
        <v>14</v>
      </c>
      <c r="E11" s="619"/>
      <c r="F11" s="619"/>
      <c r="G11" s="620"/>
      <c r="H11" s="8" t="s">
        <v>15</v>
      </c>
      <c r="I11" s="8" t="s">
        <v>16</v>
      </c>
      <c r="J11" s="618" t="s">
        <v>14</v>
      </c>
      <c r="K11" s="619"/>
      <c r="L11" s="619"/>
      <c r="M11" s="620"/>
      <c r="N11" s="8" t="s">
        <v>15</v>
      </c>
      <c r="O11" s="8" t="s">
        <v>16</v>
      </c>
      <c r="P11" s="618" t="s">
        <v>14</v>
      </c>
      <c r="Q11" s="619"/>
      <c r="R11" s="619"/>
      <c r="S11" s="620"/>
      <c r="T11" s="8" t="s">
        <v>15</v>
      </c>
      <c r="U11" s="8" t="s">
        <v>16</v>
      </c>
      <c r="V11" s="618" t="s">
        <v>14</v>
      </c>
      <c r="W11" s="619"/>
      <c r="X11" s="619"/>
      <c r="Y11" s="620"/>
      <c r="Z11" s="8" t="s">
        <v>15</v>
      </c>
      <c r="AA11" s="8" t="s">
        <v>16</v>
      </c>
      <c r="AB11" s="616"/>
      <c r="AC11" s="3"/>
      <c r="AD11" s="3"/>
    </row>
    <row r="12" spans="1:30" ht="15.75" customHeight="1" thickBot="1" x14ac:dyDescent="0.3">
      <c r="A12" s="1"/>
      <c r="B12" s="627"/>
      <c r="C12" s="629"/>
      <c r="D12" s="621" t="s">
        <v>17</v>
      </c>
      <c r="E12" s="622"/>
      <c r="F12" s="622"/>
      <c r="G12" s="622"/>
      <c r="H12" s="622"/>
      <c r="I12" s="623"/>
      <c r="J12" s="621" t="s">
        <v>17</v>
      </c>
      <c r="K12" s="622"/>
      <c r="L12" s="622"/>
      <c r="M12" s="622"/>
      <c r="N12" s="622"/>
      <c r="O12" s="623"/>
      <c r="P12" s="621" t="s">
        <v>17</v>
      </c>
      <c r="Q12" s="622"/>
      <c r="R12" s="622"/>
      <c r="S12" s="622"/>
      <c r="T12" s="622"/>
      <c r="U12" s="623"/>
      <c r="V12" s="621" t="s">
        <v>17</v>
      </c>
      <c r="W12" s="622"/>
      <c r="X12" s="622"/>
      <c r="Y12" s="622"/>
      <c r="Z12" s="622"/>
      <c r="AA12" s="623"/>
      <c r="AB12" s="616"/>
      <c r="AC12" s="3"/>
      <c r="AD12" s="3"/>
    </row>
    <row r="13" spans="1:30" ht="15.75" customHeight="1" thickBot="1" x14ac:dyDescent="0.3">
      <c r="A13" s="1"/>
      <c r="B13" s="628"/>
      <c r="C13" s="630"/>
      <c r="D13" s="613" t="s">
        <v>18</v>
      </c>
      <c r="E13" s="614"/>
      <c r="F13" s="614"/>
      <c r="G13" s="609" t="s">
        <v>19</v>
      </c>
      <c r="H13" s="611" t="s">
        <v>20</v>
      </c>
      <c r="I13" s="594" t="s">
        <v>17</v>
      </c>
      <c r="J13" s="613" t="s">
        <v>18</v>
      </c>
      <c r="K13" s="614"/>
      <c r="L13" s="614"/>
      <c r="M13" s="609" t="s">
        <v>19</v>
      </c>
      <c r="N13" s="611" t="s">
        <v>20</v>
      </c>
      <c r="O13" s="594" t="s">
        <v>17</v>
      </c>
      <c r="P13" s="613" t="s">
        <v>18</v>
      </c>
      <c r="Q13" s="614"/>
      <c r="R13" s="614"/>
      <c r="S13" s="609" t="s">
        <v>19</v>
      </c>
      <c r="T13" s="611" t="s">
        <v>20</v>
      </c>
      <c r="U13" s="594" t="s">
        <v>17</v>
      </c>
      <c r="V13" s="613" t="s">
        <v>18</v>
      </c>
      <c r="W13" s="614"/>
      <c r="X13" s="614"/>
      <c r="Y13" s="609" t="s">
        <v>19</v>
      </c>
      <c r="Z13" s="611" t="s">
        <v>20</v>
      </c>
      <c r="AA13" s="594" t="s">
        <v>17</v>
      </c>
      <c r="AB13" s="616"/>
      <c r="AC13" s="3"/>
      <c r="AD13" s="3"/>
    </row>
    <row r="14" spans="1:30" ht="15.75" thickBot="1" x14ac:dyDescent="0.3">
      <c r="A14" s="1"/>
      <c r="B14" s="9"/>
      <c r="C14" s="10"/>
      <c r="D14" s="11" t="s">
        <v>21</v>
      </c>
      <c r="E14" s="12" t="s">
        <v>22</v>
      </c>
      <c r="F14" s="12" t="s">
        <v>23</v>
      </c>
      <c r="G14" s="610"/>
      <c r="H14" s="612"/>
      <c r="I14" s="595"/>
      <c r="J14" s="11" t="s">
        <v>21</v>
      </c>
      <c r="K14" s="12" t="s">
        <v>22</v>
      </c>
      <c r="L14" s="12" t="s">
        <v>23</v>
      </c>
      <c r="M14" s="610"/>
      <c r="N14" s="612"/>
      <c r="O14" s="595"/>
      <c r="P14" s="11" t="s">
        <v>21</v>
      </c>
      <c r="Q14" s="12" t="s">
        <v>22</v>
      </c>
      <c r="R14" s="12" t="s">
        <v>23</v>
      </c>
      <c r="S14" s="610"/>
      <c r="T14" s="612"/>
      <c r="U14" s="595"/>
      <c r="V14" s="11" t="s">
        <v>21</v>
      </c>
      <c r="W14" s="12" t="s">
        <v>22</v>
      </c>
      <c r="X14" s="12" t="s">
        <v>23</v>
      </c>
      <c r="Y14" s="610"/>
      <c r="Z14" s="612"/>
      <c r="AA14" s="595"/>
      <c r="AB14" s="617"/>
      <c r="AC14" s="3"/>
      <c r="AD14" s="3"/>
    </row>
    <row r="15" spans="1:30" x14ac:dyDescent="0.25">
      <c r="A15" s="1"/>
      <c r="B15" s="13" t="s">
        <v>24</v>
      </c>
      <c r="C15" s="14" t="s">
        <v>25</v>
      </c>
      <c r="D15" s="15"/>
      <c r="E15" s="16"/>
      <c r="F15" s="17">
        <v>2043.4</v>
      </c>
      <c r="G15" s="18">
        <f>SUM(D15:F15)</f>
        <v>2043.4</v>
      </c>
      <c r="H15" s="19">
        <v>9.3147000000000002</v>
      </c>
      <c r="I15" s="20">
        <f>G15+H15</f>
        <v>2052.7147</v>
      </c>
      <c r="J15" s="329"/>
      <c r="K15" s="330"/>
      <c r="L15" s="415">
        <v>2300</v>
      </c>
      <c r="M15" s="331">
        <f t="shared" ref="M15:M24" si="0">SUM(J15:L15)</f>
        <v>2300</v>
      </c>
      <c r="N15" s="332"/>
      <c r="O15" s="333">
        <f>M15+N15</f>
        <v>2300</v>
      </c>
      <c r="P15" s="15"/>
      <c r="Q15" s="16"/>
      <c r="R15" s="334">
        <v>1124.348</v>
      </c>
      <c r="S15" s="18">
        <f>SUM(P15:R15)</f>
        <v>1124.348</v>
      </c>
      <c r="T15" s="19">
        <v>3.6419999999999999</v>
      </c>
      <c r="U15" s="20">
        <f>S15+T15</f>
        <v>1127.99</v>
      </c>
      <c r="V15" s="15"/>
      <c r="W15" s="16"/>
      <c r="X15" s="17">
        <v>2400</v>
      </c>
      <c r="Y15" s="18">
        <f>SUM(V15:X15)</f>
        <v>2400</v>
      </c>
      <c r="Z15" s="19"/>
      <c r="AA15" s="20">
        <f>Y15+Z15</f>
        <v>2400</v>
      </c>
      <c r="AB15" s="21">
        <f>(AA15/O15)</f>
        <v>1.0434782608695652</v>
      </c>
      <c r="AC15" s="3"/>
      <c r="AD15" s="3"/>
    </row>
    <row r="16" spans="1:30" x14ac:dyDescent="0.25">
      <c r="A16" s="1"/>
      <c r="B16" s="22" t="s">
        <v>26</v>
      </c>
      <c r="C16" s="23" t="s">
        <v>123</v>
      </c>
      <c r="D16" s="24">
        <v>8185.2</v>
      </c>
      <c r="E16" s="25"/>
      <c r="F16" s="25"/>
      <c r="G16" s="26">
        <f t="shared" ref="G16:G24" si="1">SUM(D16:F16)</f>
        <v>8185.2</v>
      </c>
      <c r="H16" s="27"/>
      <c r="I16" s="20">
        <f t="shared" ref="I16:I24" si="2">G16+H16</f>
        <v>8185.2</v>
      </c>
      <c r="J16" s="416">
        <f>8878.8+86</f>
        <v>8964.7999999999993</v>
      </c>
      <c r="K16" s="335"/>
      <c r="L16" s="335"/>
      <c r="M16" s="336">
        <f t="shared" si="0"/>
        <v>8964.7999999999993</v>
      </c>
      <c r="N16" s="337"/>
      <c r="O16" s="333">
        <f t="shared" ref="O16:O21" si="3">M16+N16</f>
        <v>8964.7999999999993</v>
      </c>
      <c r="P16" s="24">
        <v>4878.8</v>
      </c>
      <c r="Q16" s="338"/>
      <c r="R16" s="25"/>
      <c r="S16" s="26">
        <f t="shared" ref="S16:S24" si="4">SUM(P16:R16)</f>
        <v>4878.8</v>
      </c>
      <c r="T16" s="27"/>
      <c r="U16" s="20">
        <f t="shared" ref="U16:U21" si="5">S16+T16</f>
        <v>4878.8</v>
      </c>
      <c r="V16" s="24">
        <v>9629.9</v>
      </c>
      <c r="W16" s="25"/>
      <c r="X16" s="25"/>
      <c r="Y16" s="26">
        <f t="shared" ref="Y16:Y24" si="6">SUM(V16:X16)</f>
        <v>9629.9</v>
      </c>
      <c r="Z16" s="27"/>
      <c r="AA16" s="20">
        <f t="shared" ref="AA16:AA21" si="7">Y16+Z16</f>
        <v>9629.9</v>
      </c>
      <c r="AB16" s="21">
        <f t="shared" ref="AB16:AB25" si="8">(AA16/O16)</f>
        <v>1.0741901659825095</v>
      </c>
      <c r="AC16" s="3"/>
      <c r="AD16" s="3"/>
    </row>
    <row r="17" spans="1:30" x14ac:dyDescent="0.25">
      <c r="A17" s="1"/>
      <c r="B17" s="22" t="s">
        <v>28</v>
      </c>
      <c r="C17" s="28" t="s">
        <v>124</v>
      </c>
      <c r="D17" s="29">
        <v>853.7</v>
      </c>
      <c r="E17" s="30"/>
      <c r="F17" s="30"/>
      <c r="G17" s="26">
        <f t="shared" si="1"/>
        <v>853.7</v>
      </c>
      <c r="H17" s="31"/>
      <c r="I17" s="20">
        <f t="shared" si="2"/>
        <v>853.7</v>
      </c>
      <c r="J17" s="342">
        <f>191.1+230.7</f>
        <v>421.79999999999995</v>
      </c>
      <c r="K17" s="339"/>
      <c r="L17" s="339"/>
      <c r="M17" s="336">
        <f t="shared" si="0"/>
        <v>421.79999999999995</v>
      </c>
      <c r="N17" s="340"/>
      <c r="O17" s="333">
        <f t="shared" si="3"/>
        <v>421.79999999999995</v>
      </c>
      <c r="P17" s="29">
        <v>99.6</v>
      </c>
      <c r="Q17" s="30"/>
      <c r="R17" s="30"/>
      <c r="S17" s="26">
        <f t="shared" si="4"/>
        <v>99.6</v>
      </c>
      <c r="T17" s="31"/>
      <c r="U17" s="20">
        <f t="shared" si="5"/>
        <v>99.6</v>
      </c>
      <c r="V17" s="29">
        <f>200.5+50</f>
        <v>250.5</v>
      </c>
      <c r="W17" s="30"/>
      <c r="X17" s="30"/>
      <c r="Y17" s="26">
        <f t="shared" si="6"/>
        <v>250.5</v>
      </c>
      <c r="Z17" s="31"/>
      <c r="AA17" s="20">
        <f t="shared" si="7"/>
        <v>250.5</v>
      </c>
      <c r="AB17" s="21">
        <f t="shared" si="8"/>
        <v>0.59388335704125184</v>
      </c>
      <c r="AC17" s="3"/>
      <c r="AD17" s="3"/>
    </row>
    <row r="18" spans="1:30" x14ac:dyDescent="0.25">
      <c r="A18" s="1"/>
      <c r="B18" s="22" t="s">
        <v>125</v>
      </c>
      <c r="C18" s="341" t="s">
        <v>126</v>
      </c>
      <c r="D18" s="29"/>
      <c r="E18" s="30"/>
      <c r="F18" s="30"/>
      <c r="G18" s="26">
        <f t="shared" si="1"/>
        <v>0</v>
      </c>
      <c r="H18" s="27"/>
      <c r="I18" s="20">
        <f t="shared" si="2"/>
        <v>0</v>
      </c>
      <c r="J18" s="342"/>
      <c r="K18" s="339"/>
      <c r="L18" s="339"/>
      <c r="M18" s="336">
        <f t="shared" si="0"/>
        <v>0</v>
      </c>
      <c r="N18" s="337"/>
      <c r="O18" s="333">
        <f t="shared" si="3"/>
        <v>0</v>
      </c>
      <c r="P18" s="29"/>
      <c r="Q18" s="30"/>
      <c r="R18" s="30"/>
      <c r="S18" s="26">
        <f t="shared" si="4"/>
        <v>0</v>
      </c>
      <c r="T18" s="27"/>
      <c r="U18" s="20">
        <f t="shared" si="5"/>
        <v>0</v>
      </c>
      <c r="V18" s="29">
        <v>9785.7999999999993</v>
      </c>
      <c r="W18" s="30"/>
      <c r="X18" s="30"/>
      <c r="Y18" s="26">
        <f t="shared" si="6"/>
        <v>9785.7999999999993</v>
      </c>
      <c r="Z18" s="27"/>
      <c r="AA18" s="20">
        <f t="shared" si="7"/>
        <v>9785.7999999999993</v>
      </c>
      <c r="AB18" s="21"/>
      <c r="AC18" s="3"/>
      <c r="AD18" s="3"/>
    </row>
    <row r="19" spans="1:30" x14ac:dyDescent="0.25">
      <c r="A19" s="1"/>
      <c r="B19" s="22" t="s">
        <v>30</v>
      </c>
      <c r="C19" s="32" t="s">
        <v>31</v>
      </c>
      <c r="D19" s="33"/>
      <c r="E19" s="34">
        <v>65626.27</v>
      </c>
      <c r="F19" s="30"/>
      <c r="G19" s="26">
        <f t="shared" si="1"/>
        <v>65626.27</v>
      </c>
      <c r="H19" s="19"/>
      <c r="I19" s="20">
        <f t="shared" si="2"/>
        <v>65626.27</v>
      </c>
      <c r="J19" s="343"/>
      <c r="K19" s="417">
        <v>64000</v>
      </c>
      <c r="L19" s="339"/>
      <c r="M19" s="336">
        <f t="shared" si="0"/>
        <v>64000</v>
      </c>
      <c r="N19" s="332"/>
      <c r="O19" s="333">
        <f t="shared" si="3"/>
        <v>64000</v>
      </c>
      <c r="P19" s="33"/>
      <c r="Q19" s="34">
        <v>34194.525000000001</v>
      </c>
      <c r="R19" s="30"/>
      <c r="S19" s="26">
        <f t="shared" si="4"/>
        <v>34194.525000000001</v>
      </c>
      <c r="T19" s="19"/>
      <c r="U19" s="20">
        <f t="shared" si="5"/>
        <v>34194.525000000001</v>
      </c>
      <c r="V19" s="33"/>
      <c r="W19" s="34">
        <v>64900</v>
      </c>
      <c r="X19" s="30"/>
      <c r="Y19" s="26">
        <f t="shared" si="6"/>
        <v>64900</v>
      </c>
      <c r="Z19" s="19"/>
      <c r="AA19" s="20">
        <f t="shared" si="7"/>
        <v>64900</v>
      </c>
      <c r="AB19" s="21">
        <f t="shared" si="8"/>
        <v>1.0140625000000001</v>
      </c>
      <c r="AC19" s="3"/>
      <c r="AD19" s="3"/>
    </row>
    <row r="20" spans="1:30" ht="15.75" thickBot="1" x14ac:dyDescent="0.3">
      <c r="A20" s="1"/>
      <c r="B20" s="22" t="s">
        <v>32</v>
      </c>
      <c r="C20" s="35" t="s">
        <v>33</v>
      </c>
      <c r="D20" s="36"/>
      <c r="E20" s="30"/>
      <c r="F20" s="37">
        <v>895.5</v>
      </c>
      <c r="G20" s="48">
        <f t="shared" si="1"/>
        <v>895.5</v>
      </c>
      <c r="H20" s="38"/>
      <c r="I20" s="20">
        <f t="shared" si="2"/>
        <v>895.5</v>
      </c>
      <c r="J20" s="344"/>
      <c r="K20" s="339"/>
      <c r="L20" s="397">
        <v>895.5</v>
      </c>
      <c r="M20" s="336">
        <f t="shared" si="0"/>
        <v>895.5</v>
      </c>
      <c r="N20" s="345"/>
      <c r="O20" s="333">
        <f t="shared" si="3"/>
        <v>895.5</v>
      </c>
      <c r="P20" s="36"/>
      <c r="Q20" s="30"/>
      <c r="R20" s="37">
        <v>215.02699999999999</v>
      </c>
      <c r="S20" s="26">
        <f t="shared" si="4"/>
        <v>215.02699999999999</v>
      </c>
      <c r="T20" s="38"/>
      <c r="U20" s="20">
        <f t="shared" si="5"/>
        <v>215.02699999999999</v>
      </c>
      <c r="V20" s="36"/>
      <c r="W20" s="30"/>
      <c r="X20" s="37">
        <v>800</v>
      </c>
      <c r="Y20" s="26">
        <f t="shared" si="6"/>
        <v>800</v>
      </c>
      <c r="Z20" s="38"/>
      <c r="AA20" s="20">
        <f t="shared" si="7"/>
        <v>800</v>
      </c>
      <c r="AB20" s="21">
        <f t="shared" si="8"/>
        <v>0.89335566722501392</v>
      </c>
      <c r="AC20" s="3"/>
      <c r="AD20" s="3"/>
    </row>
    <row r="21" spans="1:30" ht="15.75" thickBot="1" x14ac:dyDescent="0.3">
      <c r="A21" s="1"/>
      <c r="B21" s="22" t="s">
        <v>34</v>
      </c>
      <c r="C21" s="39" t="s">
        <v>35</v>
      </c>
      <c r="D21" s="33"/>
      <c r="E21" s="25"/>
      <c r="F21" s="570">
        <v>496.387</v>
      </c>
      <c r="G21" s="571">
        <f>F21</f>
        <v>496.387</v>
      </c>
      <c r="H21" s="38"/>
      <c r="I21" s="20">
        <f t="shared" si="2"/>
        <v>496.387</v>
      </c>
      <c r="J21" s="343"/>
      <c r="K21" s="335"/>
      <c r="L21" s="418">
        <v>250</v>
      </c>
      <c r="M21" s="336">
        <f t="shared" si="0"/>
        <v>250</v>
      </c>
      <c r="N21" s="345"/>
      <c r="O21" s="333">
        <f t="shared" si="3"/>
        <v>250</v>
      </c>
      <c r="P21" s="33"/>
      <c r="Q21" s="25"/>
      <c r="R21" s="40">
        <v>197.22300000000001</v>
      </c>
      <c r="S21" s="26">
        <f t="shared" si="4"/>
        <v>197.22300000000001</v>
      </c>
      <c r="T21" s="38"/>
      <c r="U21" s="20">
        <f t="shared" si="5"/>
        <v>197.22300000000001</v>
      </c>
      <c r="V21" s="33"/>
      <c r="W21" s="25"/>
      <c r="X21" s="40">
        <v>500</v>
      </c>
      <c r="Y21" s="26">
        <f t="shared" si="6"/>
        <v>500</v>
      </c>
      <c r="Z21" s="38"/>
      <c r="AA21" s="20">
        <f t="shared" si="7"/>
        <v>500</v>
      </c>
      <c r="AB21" s="21">
        <f t="shared" si="8"/>
        <v>2</v>
      </c>
      <c r="AC21" s="3"/>
      <c r="AD21" s="3"/>
    </row>
    <row r="22" spans="1:30" x14ac:dyDescent="0.25">
      <c r="A22" s="1"/>
      <c r="B22" s="22" t="s">
        <v>36</v>
      </c>
      <c r="C22" s="41" t="s">
        <v>37</v>
      </c>
      <c r="D22" s="33"/>
      <c r="E22" s="25"/>
      <c r="F22" s="40">
        <v>774.60799999999995</v>
      </c>
      <c r="G22" s="18">
        <f t="shared" si="1"/>
        <v>774.60799999999995</v>
      </c>
      <c r="H22" s="42">
        <v>275.76</v>
      </c>
      <c r="I22" s="20">
        <f>G22+H22</f>
        <v>1050.3679999999999</v>
      </c>
      <c r="J22" s="343"/>
      <c r="K22" s="335"/>
      <c r="L22" s="418">
        <v>200</v>
      </c>
      <c r="M22" s="336">
        <f t="shared" si="0"/>
        <v>200</v>
      </c>
      <c r="N22" s="346">
        <v>200</v>
      </c>
      <c r="O22" s="333">
        <f>M22+N22</f>
        <v>400</v>
      </c>
      <c r="P22" s="33"/>
      <c r="Q22" s="25"/>
      <c r="R22" s="40">
        <v>239.70699999999999</v>
      </c>
      <c r="S22" s="26">
        <f t="shared" si="4"/>
        <v>239.70699999999999</v>
      </c>
      <c r="T22" s="42">
        <v>146.75700000000001</v>
      </c>
      <c r="U22" s="20">
        <f>S22+T22</f>
        <v>386.464</v>
      </c>
      <c r="V22" s="33"/>
      <c r="W22" s="25"/>
      <c r="X22" s="40">
        <v>300</v>
      </c>
      <c r="Y22" s="26">
        <f t="shared" si="6"/>
        <v>300</v>
      </c>
      <c r="Z22" s="42">
        <v>200</v>
      </c>
      <c r="AA22" s="20">
        <f>Y22+Z22</f>
        <v>500</v>
      </c>
      <c r="AB22" s="21">
        <f t="shared" si="8"/>
        <v>1.25</v>
      </c>
      <c r="AC22" s="3"/>
      <c r="AD22" s="3"/>
    </row>
    <row r="23" spans="1:30" x14ac:dyDescent="0.25">
      <c r="A23" s="1"/>
      <c r="B23" s="22" t="s">
        <v>38</v>
      </c>
      <c r="C23" s="41" t="s">
        <v>39</v>
      </c>
      <c r="D23" s="33"/>
      <c r="E23" s="25"/>
      <c r="F23" s="40"/>
      <c r="G23" s="26">
        <f t="shared" si="1"/>
        <v>0</v>
      </c>
      <c r="H23" s="42">
        <v>275.76400000000001</v>
      </c>
      <c r="I23" s="20">
        <f t="shared" si="2"/>
        <v>275.76400000000001</v>
      </c>
      <c r="J23" s="343"/>
      <c r="K23" s="335"/>
      <c r="L23" s="418"/>
      <c r="M23" s="336">
        <f t="shared" si="0"/>
        <v>0</v>
      </c>
      <c r="N23" s="346">
        <v>200</v>
      </c>
      <c r="O23" s="333">
        <f t="shared" ref="O23:O24" si="9">M23+N23</f>
        <v>200</v>
      </c>
      <c r="P23" s="33"/>
      <c r="Q23" s="25"/>
      <c r="R23" s="40"/>
      <c r="S23" s="26">
        <f t="shared" si="4"/>
        <v>0</v>
      </c>
      <c r="T23" s="42">
        <v>146.75700000000001</v>
      </c>
      <c r="U23" s="20">
        <f t="shared" ref="U23:U24" si="10">S23+T23</f>
        <v>146.75700000000001</v>
      </c>
      <c r="V23" s="33"/>
      <c r="W23" s="25"/>
      <c r="X23" s="40"/>
      <c r="Y23" s="26">
        <f t="shared" si="6"/>
        <v>0</v>
      </c>
      <c r="Z23" s="42">
        <v>200</v>
      </c>
      <c r="AA23" s="20">
        <f t="shared" ref="AA23:AA24" si="11">Y23+Z23</f>
        <v>200</v>
      </c>
      <c r="AB23" s="21">
        <f t="shared" si="8"/>
        <v>1</v>
      </c>
      <c r="AC23" s="3"/>
      <c r="AD23" s="3"/>
    </row>
    <row r="24" spans="1:30" ht="15.75" thickBot="1" x14ac:dyDescent="0.3">
      <c r="A24" s="1"/>
      <c r="B24" s="43" t="s">
        <v>40</v>
      </c>
      <c r="C24" s="44" t="s">
        <v>41</v>
      </c>
      <c r="D24" s="45"/>
      <c r="E24" s="46"/>
      <c r="F24" s="47"/>
      <c r="G24" s="48">
        <f t="shared" si="1"/>
        <v>0</v>
      </c>
      <c r="H24" s="49"/>
      <c r="I24" s="50">
        <f t="shared" si="2"/>
        <v>0</v>
      </c>
      <c r="J24" s="347"/>
      <c r="K24" s="348"/>
      <c r="L24" s="419"/>
      <c r="M24" s="349">
        <f t="shared" si="0"/>
        <v>0</v>
      </c>
      <c r="N24" s="350"/>
      <c r="O24" s="351">
        <f t="shared" si="9"/>
        <v>0</v>
      </c>
      <c r="P24" s="45"/>
      <c r="Q24" s="46"/>
      <c r="R24" s="47"/>
      <c r="S24" s="48">
        <f t="shared" si="4"/>
        <v>0</v>
      </c>
      <c r="T24" s="49"/>
      <c r="U24" s="50">
        <f t="shared" si="10"/>
        <v>0</v>
      </c>
      <c r="V24" s="45"/>
      <c r="W24" s="46"/>
      <c r="X24" s="47"/>
      <c r="Y24" s="48">
        <f t="shared" si="6"/>
        <v>0</v>
      </c>
      <c r="Z24" s="49"/>
      <c r="AA24" s="50">
        <f t="shared" si="11"/>
        <v>0</v>
      </c>
      <c r="AB24" s="51" t="e">
        <f t="shared" si="8"/>
        <v>#DIV/0!</v>
      </c>
      <c r="AC24" s="3"/>
      <c r="AD24" s="3"/>
    </row>
    <row r="25" spans="1:30" ht="15.75" thickBot="1" x14ac:dyDescent="0.3">
      <c r="A25" s="1"/>
      <c r="B25" s="52" t="s">
        <v>42</v>
      </c>
      <c r="C25" s="53" t="s">
        <v>43</v>
      </c>
      <c r="D25" s="54">
        <f>SUM(D15:D22)</f>
        <v>9038.9</v>
      </c>
      <c r="E25" s="55">
        <f>SUM(E15:E22)</f>
        <v>65626.27</v>
      </c>
      <c r="F25" s="55">
        <f>SUM(F15:F22)</f>
        <v>4209.8950000000004</v>
      </c>
      <c r="G25" s="56">
        <f>SUM(D25:F25)</f>
        <v>78875.065000000002</v>
      </c>
      <c r="H25" s="57">
        <f>SUM(H15:H22)</f>
        <v>285.07470000000001</v>
      </c>
      <c r="I25" s="57">
        <f>SUM(I15:I22)</f>
        <v>79160.139700000014</v>
      </c>
      <c r="J25" s="352">
        <f>SUM(J15:J22)</f>
        <v>9386.5999999999985</v>
      </c>
      <c r="K25" s="353">
        <f>SUM(K15:K22)</f>
        <v>64000</v>
      </c>
      <c r="L25" s="353">
        <f>SUM(L15:L22)</f>
        <v>3645.5</v>
      </c>
      <c r="M25" s="354">
        <f>SUM(J25:L25)</f>
        <v>77032.100000000006</v>
      </c>
      <c r="N25" s="355">
        <f>SUM(N15:N22)</f>
        <v>200</v>
      </c>
      <c r="O25" s="355">
        <f>SUM(O15:O22)</f>
        <v>77232.100000000006</v>
      </c>
      <c r="P25" s="54">
        <f>SUM(P15:P22)</f>
        <v>4978.4000000000005</v>
      </c>
      <c r="Q25" s="55">
        <f>SUM(Q15:Q22)</f>
        <v>34194.525000000001</v>
      </c>
      <c r="R25" s="55">
        <f>SUM(R15:R22)</f>
        <v>1776.3049999999998</v>
      </c>
      <c r="S25" s="56">
        <f>SUM(P25:R25)</f>
        <v>40949.230000000003</v>
      </c>
      <c r="T25" s="57">
        <f>SUM(T15:T22)</f>
        <v>150.399</v>
      </c>
      <c r="U25" s="57">
        <f>SUM(U15:U22)</f>
        <v>41099.629000000001</v>
      </c>
      <c r="V25" s="54">
        <f>SUM(V15:V22)</f>
        <v>19666.199999999997</v>
      </c>
      <c r="W25" s="55">
        <f>SUM(W15:W22)</f>
        <v>64900</v>
      </c>
      <c r="X25" s="55">
        <f>SUM(X15:X22)</f>
        <v>4000</v>
      </c>
      <c r="Y25" s="56">
        <f>SUM(V25:X25)</f>
        <v>88566.2</v>
      </c>
      <c r="Z25" s="57">
        <f>SUM(Z15:Z22)</f>
        <v>200</v>
      </c>
      <c r="AA25" s="57">
        <f>SUM(AA15:AA22)</f>
        <v>88766.2</v>
      </c>
      <c r="AB25" s="58">
        <f t="shared" si="8"/>
        <v>1.1493433429882134</v>
      </c>
      <c r="AC25" s="3"/>
      <c r="AD25" s="3"/>
    </row>
    <row r="26" spans="1:30" ht="15.75" customHeight="1" thickBot="1" x14ac:dyDescent="0.3">
      <c r="A26" s="1"/>
      <c r="B26" s="59"/>
      <c r="C26" s="60"/>
      <c r="D26" s="596" t="s">
        <v>44</v>
      </c>
      <c r="E26" s="597"/>
      <c r="F26" s="597"/>
      <c r="G26" s="598"/>
      <c r="H26" s="598"/>
      <c r="I26" s="599"/>
      <c r="J26" s="705" t="s">
        <v>44</v>
      </c>
      <c r="K26" s="706"/>
      <c r="L26" s="706"/>
      <c r="M26" s="707"/>
      <c r="N26" s="707"/>
      <c r="O26" s="708"/>
      <c r="P26" s="596" t="s">
        <v>44</v>
      </c>
      <c r="Q26" s="597"/>
      <c r="R26" s="597"/>
      <c r="S26" s="598"/>
      <c r="T26" s="598"/>
      <c r="U26" s="599"/>
      <c r="V26" s="596" t="s">
        <v>44</v>
      </c>
      <c r="W26" s="597"/>
      <c r="X26" s="597"/>
      <c r="Y26" s="598"/>
      <c r="Z26" s="598"/>
      <c r="AA26" s="599"/>
      <c r="AB26" s="600" t="s">
        <v>13</v>
      </c>
      <c r="AC26" s="3"/>
      <c r="AD26" s="3"/>
    </row>
    <row r="27" spans="1:30" ht="15.75" thickBot="1" x14ac:dyDescent="0.3">
      <c r="A27" s="1"/>
      <c r="B27" s="590" t="s">
        <v>7</v>
      </c>
      <c r="C27" s="592" t="s">
        <v>8</v>
      </c>
      <c r="D27" s="586" t="s">
        <v>45</v>
      </c>
      <c r="E27" s="587"/>
      <c r="F27" s="587"/>
      <c r="G27" s="588" t="s">
        <v>46</v>
      </c>
      <c r="H27" s="578" t="s">
        <v>47</v>
      </c>
      <c r="I27" s="580" t="s">
        <v>44</v>
      </c>
      <c r="J27" s="709" t="s">
        <v>45</v>
      </c>
      <c r="K27" s="710"/>
      <c r="L27" s="710"/>
      <c r="M27" s="711" t="s">
        <v>46</v>
      </c>
      <c r="N27" s="713" t="s">
        <v>47</v>
      </c>
      <c r="O27" s="715" t="s">
        <v>44</v>
      </c>
      <c r="P27" s="586" t="s">
        <v>45</v>
      </c>
      <c r="Q27" s="587"/>
      <c r="R27" s="587"/>
      <c r="S27" s="588" t="s">
        <v>46</v>
      </c>
      <c r="T27" s="578" t="s">
        <v>47</v>
      </c>
      <c r="U27" s="580" t="s">
        <v>44</v>
      </c>
      <c r="V27" s="586" t="s">
        <v>45</v>
      </c>
      <c r="W27" s="587"/>
      <c r="X27" s="587"/>
      <c r="Y27" s="588" t="s">
        <v>46</v>
      </c>
      <c r="Z27" s="578" t="s">
        <v>47</v>
      </c>
      <c r="AA27" s="580" t="s">
        <v>44</v>
      </c>
      <c r="AB27" s="601"/>
      <c r="AC27" s="3"/>
      <c r="AD27" s="3"/>
    </row>
    <row r="28" spans="1:30" ht="15.75" thickBot="1" x14ac:dyDescent="0.3">
      <c r="A28" s="1"/>
      <c r="B28" s="591"/>
      <c r="C28" s="593"/>
      <c r="D28" s="61" t="s">
        <v>48</v>
      </c>
      <c r="E28" s="62" t="s">
        <v>49</v>
      </c>
      <c r="F28" s="63" t="s">
        <v>50</v>
      </c>
      <c r="G28" s="589"/>
      <c r="H28" s="579"/>
      <c r="I28" s="581"/>
      <c r="J28" s="356" t="s">
        <v>48</v>
      </c>
      <c r="K28" s="357" t="s">
        <v>49</v>
      </c>
      <c r="L28" s="358" t="s">
        <v>50</v>
      </c>
      <c r="M28" s="712"/>
      <c r="N28" s="714"/>
      <c r="O28" s="716"/>
      <c r="P28" s="61" t="s">
        <v>48</v>
      </c>
      <c r="Q28" s="62" t="s">
        <v>49</v>
      </c>
      <c r="R28" s="63" t="s">
        <v>50</v>
      </c>
      <c r="S28" s="589"/>
      <c r="T28" s="579"/>
      <c r="U28" s="581"/>
      <c r="V28" s="61" t="s">
        <v>48</v>
      </c>
      <c r="W28" s="62" t="s">
        <v>49</v>
      </c>
      <c r="X28" s="63" t="s">
        <v>50</v>
      </c>
      <c r="Y28" s="589"/>
      <c r="Z28" s="579"/>
      <c r="AA28" s="581"/>
      <c r="AB28" s="602"/>
      <c r="AC28" s="3"/>
      <c r="AD28" s="3"/>
    </row>
    <row r="29" spans="1:30" x14ac:dyDescent="0.25">
      <c r="A29" s="1"/>
      <c r="B29" s="13" t="s">
        <v>51</v>
      </c>
      <c r="C29" s="67" t="s">
        <v>52</v>
      </c>
      <c r="D29" s="68">
        <v>967.01700000000005</v>
      </c>
      <c r="E29" s="68"/>
      <c r="F29" s="68"/>
      <c r="G29" s="70">
        <f>SUM(D29:F29)</f>
        <v>967.01700000000005</v>
      </c>
      <c r="H29" s="70"/>
      <c r="I29" s="71">
        <f>G29+H29</f>
        <v>967.01700000000005</v>
      </c>
      <c r="J29" s="421">
        <v>1050</v>
      </c>
      <c r="K29" s="422"/>
      <c r="L29" s="422"/>
      <c r="M29" s="359">
        <f>SUM(J29:L29)</f>
        <v>1050</v>
      </c>
      <c r="N29" s="359"/>
      <c r="O29" s="360">
        <f>M29+N29</f>
        <v>1050</v>
      </c>
      <c r="P29" s="72">
        <v>194.91200000000001</v>
      </c>
      <c r="Q29" s="68"/>
      <c r="R29" s="68"/>
      <c r="S29" s="70">
        <f>SUM(P29:R29)</f>
        <v>194.91200000000001</v>
      </c>
      <c r="T29" s="70"/>
      <c r="U29" s="71">
        <f>S29+T29</f>
        <v>194.91200000000001</v>
      </c>
      <c r="V29" s="72">
        <v>1300</v>
      </c>
      <c r="W29" s="68"/>
      <c r="X29" s="68"/>
      <c r="Y29" s="70">
        <f>SUM(V29:X29)</f>
        <v>1300</v>
      </c>
      <c r="Z29" s="70"/>
      <c r="AA29" s="71">
        <f>Y29+Z29</f>
        <v>1300</v>
      </c>
      <c r="AB29" s="21">
        <f t="shared" ref="AB29:AB42" si="12">(AA29/O29)</f>
        <v>1.2380952380952381</v>
      </c>
      <c r="AC29" s="3"/>
      <c r="AD29" s="3"/>
    </row>
    <row r="30" spans="1:30" x14ac:dyDescent="0.25">
      <c r="A30" s="1"/>
      <c r="B30" s="22" t="s">
        <v>53</v>
      </c>
      <c r="C30" s="73" t="s">
        <v>54</v>
      </c>
      <c r="D30" s="74">
        <v>884.2</v>
      </c>
      <c r="E30" s="75">
        <v>971.36900000000003</v>
      </c>
      <c r="F30" s="75">
        <v>2238.9459999999999</v>
      </c>
      <c r="G30" s="76">
        <f t="shared" ref="G30:G39" si="13">SUM(D30:F30)</f>
        <v>4094.5149999999999</v>
      </c>
      <c r="H30" s="77"/>
      <c r="I30" s="20">
        <f t="shared" ref="I30:I39" si="14">G30+H30</f>
        <v>4094.5149999999999</v>
      </c>
      <c r="J30" s="424">
        <f>930+20</f>
        <v>950</v>
      </c>
      <c r="K30" s="425">
        <v>680</v>
      </c>
      <c r="L30" s="425">
        <v>2500</v>
      </c>
      <c r="M30" s="361">
        <f t="shared" ref="M30:M39" si="15">SUM(J30:L30)</f>
        <v>4130</v>
      </c>
      <c r="N30" s="362">
        <v>20</v>
      </c>
      <c r="O30" s="333">
        <f t="shared" ref="O30:O39" si="16">M30+N30</f>
        <v>4150</v>
      </c>
      <c r="P30" s="78">
        <v>268.95100000000002</v>
      </c>
      <c r="Q30" s="75">
        <v>713.52099999999996</v>
      </c>
      <c r="R30" s="75">
        <v>1218.836</v>
      </c>
      <c r="S30" s="76">
        <f t="shared" ref="S30:S39" si="17">SUM(P30:R30)</f>
        <v>2201.308</v>
      </c>
      <c r="T30" s="77"/>
      <c r="U30" s="20">
        <f t="shared" ref="U30:U39" si="18">S30+T30</f>
        <v>2201.308</v>
      </c>
      <c r="V30" s="78">
        <f>950+0</f>
        <v>950</v>
      </c>
      <c r="W30" s="75">
        <v>1200</v>
      </c>
      <c r="X30" s="75">
        <v>3000</v>
      </c>
      <c r="Y30" s="76">
        <f t="shared" ref="Y30:Y39" si="19">SUM(V30:X30)</f>
        <v>5150</v>
      </c>
      <c r="Z30" s="77">
        <v>140</v>
      </c>
      <c r="AA30" s="20">
        <f t="shared" ref="AA30:AA39" si="20">Y30+Z30</f>
        <v>5290</v>
      </c>
      <c r="AB30" s="21">
        <f t="shared" si="12"/>
        <v>1.2746987951807229</v>
      </c>
      <c r="AC30" s="3"/>
      <c r="AD30" s="3"/>
    </row>
    <row r="31" spans="1:30" x14ac:dyDescent="0.25">
      <c r="A31" s="1"/>
      <c r="B31" s="22" t="s">
        <v>55</v>
      </c>
      <c r="C31" s="41" t="s">
        <v>56</v>
      </c>
      <c r="D31" s="79">
        <v>3462.6950000000002</v>
      </c>
      <c r="E31" s="79"/>
      <c r="F31" s="79"/>
      <c r="G31" s="76">
        <f t="shared" si="13"/>
        <v>3462.6950000000002</v>
      </c>
      <c r="H31" s="76">
        <v>60.9</v>
      </c>
      <c r="I31" s="20">
        <f t="shared" si="14"/>
        <v>3523.5950000000003</v>
      </c>
      <c r="J31" s="426">
        <v>3100</v>
      </c>
      <c r="K31" s="246"/>
      <c r="L31" s="427"/>
      <c r="M31" s="361">
        <f t="shared" si="15"/>
        <v>3100</v>
      </c>
      <c r="N31" s="361">
        <v>20</v>
      </c>
      <c r="O31" s="333">
        <f t="shared" si="16"/>
        <v>3120</v>
      </c>
      <c r="P31" s="80">
        <v>1811.2639999999999</v>
      </c>
      <c r="Q31" s="79"/>
      <c r="R31" s="79"/>
      <c r="S31" s="76">
        <f t="shared" si="17"/>
        <v>1811.2639999999999</v>
      </c>
      <c r="T31" s="76">
        <v>3.6419999999999999</v>
      </c>
      <c r="U31" s="20">
        <f t="shared" si="18"/>
        <v>1814.9059999999999</v>
      </c>
      <c r="V31" s="80">
        <v>3300</v>
      </c>
      <c r="W31" s="79"/>
      <c r="X31" s="79"/>
      <c r="Y31" s="76">
        <f t="shared" si="19"/>
        <v>3300</v>
      </c>
      <c r="Z31" s="76">
        <v>30</v>
      </c>
      <c r="AA31" s="20">
        <f t="shared" si="20"/>
        <v>3330</v>
      </c>
      <c r="AB31" s="21">
        <f>(AA31/O31)</f>
        <v>1.0673076923076923</v>
      </c>
      <c r="AC31" s="3"/>
      <c r="AD31" s="3"/>
    </row>
    <row r="32" spans="1:30" x14ac:dyDescent="0.25">
      <c r="A32" s="1"/>
      <c r="B32" s="22" t="s">
        <v>57</v>
      </c>
      <c r="C32" s="41" t="s">
        <v>58</v>
      </c>
      <c r="D32" s="79">
        <v>1468.1</v>
      </c>
      <c r="E32" s="79">
        <v>1139.5550000000001</v>
      </c>
      <c r="F32" s="79">
        <v>96.05</v>
      </c>
      <c r="G32" s="76">
        <f t="shared" si="13"/>
        <v>2703.7049999999999</v>
      </c>
      <c r="H32" s="76"/>
      <c r="I32" s="20">
        <f t="shared" si="14"/>
        <v>2703.7049999999999</v>
      </c>
      <c r="J32" s="426">
        <f>1600+30</f>
        <v>1630</v>
      </c>
      <c r="K32" s="427">
        <v>1400</v>
      </c>
      <c r="L32" s="427">
        <v>5</v>
      </c>
      <c r="M32" s="361">
        <f t="shared" si="15"/>
        <v>3035</v>
      </c>
      <c r="N32" s="361"/>
      <c r="O32" s="333">
        <f t="shared" si="16"/>
        <v>3035</v>
      </c>
      <c r="P32" s="80">
        <v>788.29600000000005</v>
      </c>
      <c r="Q32" s="79">
        <v>1731.182</v>
      </c>
      <c r="R32" s="79">
        <v>11</v>
      </c>
      <c r="S32" s="76">
        <f t="shared" si="17"/>
        <v>2530.4780000000001</v>
      </c>
      <c r="T32" s="76"/>
      <c r="U32" s="20">
        <f t="shared" si="18"/>
        <v>2530.4780000000001</v>
      </c>
      <c r="V32" s="80">
        <f>1992.8</f>
        <v>1992.8</v>
      </c>
      <c r="W32" s="79">
        <v>1200</v>
      </c>
      <c r="X32" s="79">
        <v>200</v>
      </c>
      <c r="Y32" s="76">
        <f t="shared" si="19"/>
        <v>3392.8</v>
      </c>
      <c r="Z32" s="76">
        <v>30</v>
      </c>
      <c r="AA32" s="20">
        <f t="shared" si="20"/>
        <v>3422.8</v>
      </c>
      <c r="AB32" s="21">
        <f t="shared" si="12"/>
        <v>1.1277759472817135</v>
      </c>
      <c r="AC32" s="3"/>
      <c r="AD32" s="3"/>
    </row>
    <row r="33" spans="1:30" x14ac:dyDescent="0.25">
      <c r="A33" s="1"/>
      <c r="B33" s="22" t="s">
        <v>59</v>
      </c>
      <c r="C33" s="41" t="s">
        <v>60</v>
      </c>
      <c r="D33" s="363">
        <f>D34+D35</f>
        <v>347</v>
      </c>
      <c r="E33" s="79">
        <f>E34+E35</f>
        <v>46651.900999999998</v>
      </c>
      <c r="F33" s="79">
        <v>6</v>
      </c>
      <c r="G33" s="76">
        <f t="shared" si="13"/>
        <v>47004.900999999998</v>
      </c>
      <c r="H33" s="76"/>
      <c r="I33" s="20">
        <f t="shared" si="14"/>
        <v>47004.900999999998</v>
      </c>
      <c r="J33" s="426">
        <v>28.8</v>
      </c>
      <c r="K33" s="427">
        <v>45087</v>
      </c>
      <c r="L33" s="427"/>
      <c r="M33" s="361">
        <f t="shared" si="15"/>
        <v>45115.8</v>
      </c>
      <c r="N33" s="361"/>
      <c r="O33" s="333">
        <f t="shared" si="16"/>
        <v>45115.8</v>
      </c>
      <c r="P33" s="82">
        <f>P34+P35</f>
        <v>114</v>
      </c>
      <c r="Q33" s="82">
        <f>Q34+Q35</f>
        <v>23451.406999999999</v>
      </c>
      <c r="R33" s="79"/>
      <c r="S33" s="76">
        <f t="shared" si="17"/>
        <v>23565.406999999999</v>
      </c>
      <c r="T33" s="76"/>
      <c r="U33" s="20">
        <f t="shared" si="18"/>
        <v>23565.406999999999</v>
      </c>
      <c r="V33" s="82">
        <f>V35+V34</f>
        <v>6368.9400000000005</v>
      </c>
      <c r="W33" s="79">
        <f>W34+W35</f>
        <v>43900</v>
      </c>
      <c r="X33" s="79"/>
      <c r="Y33" s="76">
        <f t="shared" si="19"/>
        <v>50268.94</v>
      </c>
      <c r="Z33" s="76"/>
      <c r="AA33" s="20">
        <f t="shared" si="20"/>
        <v>50268.94</v>
      </c>
      <c r="AB33" s="21">
        <f t="shared" si="12"/>
        <v>1.1142202953289091</v>
      </c>
      <c r="AC33" s="3"/>
      <c r="AD33" s="3"/>
    </row>
    <row r="34" spans="1:30" x14ac:dyDescent="0.25">
      <c r="A34" s="1"/>
      <c r="B34" s="22" t="s">
        <v>61</v>
      </c>
      <c r="C34" s="35" t="s">
        <v>127</v>
      </c>
      <c r="D34" s="363">
        <v>145.4</v>
      </c>
      <c r="E34" s="79">
        <v>45800.951000000001</v>
      </c>
      <c r="F34" s="79"/>
      <c r="G34" s="76">
        <f t="shared" si="13"/>
        <v>45946.351000000002</v>
      </c>
      <c r="H34" s="76"/>
      <c r="I34" s="20">
        <f t="shared" si="14"/>
        <v>45946.351000000002</v>
      </c>
      <c r="J34" s="426"/>
      <c r="K34" s="427">
        <v>44477</v>
      </c>
      <c r="L34" s="427"/>
      <c r="M34" s="361">
        <f t="shared" si="15"/>
        <v>44477</v>
      </c>
      <c r="N34" s="361"/>
      <c r="O34" s="333">
        <f t="shared" si="16"/>
        <v>44477</v>
      </c>
      <c r="P34" s="82"/>
      <c r="Q34" s="79">
        <v>22617.807000000001</v>
      </c>
      <c r="R34" s="79"/>
      <c r="S34" s="76">
        <f t="shared" si="17"/>
        <v>22617.807000000001</v>
      </c>
      <c r="T34" s="76"/>
      <c r="U34" s="20">
        <f t="shared" si="18"/>
        <v>22617.807000000001</v>
      </c>
      <c r="V34" s="82">
        <v>6316.14</v>
      </c>
      <c r="W34" s="79">
        <v>43200</v>
      </c>
      <c r="X34" s="79"/>
      <c r="Y34" s="76">
        <f t="shared" si="19"/>
        <v>49516.14</v>
      </c>
      <c r="Z34" s="76"/>
      <c r="AA34" s="20">
        <f t="shared" si="20"/>
        <v>49516.14</v>
      </c>
      <c r="AB34" s="21">
        <f t="shared" si="12"/>
        <v>1.1132976594644424</v>
      </c>
      <c r="AC34" s="3"/>
      <c r="AD34" s="3"/>
    </row>
    <row r="35" spans="1:30" x14ac:dyDescent="0.25">
      <c r="A35" s="1"/>
      <c r="B35" s="22" t="s">
        <v>63</v>
      </c>
      <c r="C35" s="81" t="s">
        <v>64</v>
      </c>
      <c r="D35" s="363">
        <v>201.6</v>
      </c>
      <c r="E35" s="79">
        <v>850.95</v>
      </c>
      <c r="F35" s="79">
        <v>6</v>
      </c>
      <c r="G35" s="76">
        <f t="shared" si="13"/>
        <v>1058.55</v>
      </c>
      <c r="H35" s="76"/>
      <c r="I35" s="20">
        <f t="shared" si="14"/>
        <v>1058.55</v>
      </c>
      <c r="J35" s="426">
        <v>28.8</v>
      </c>
      <c r="K35" s="427">
        <v>610</v>
      </c>
      <c r="L35" s="427"/>
      <c r="M35" s="361">
        <f>SUM(J35:L35)</f>
        <v>638.79999999999995</v>
      </c>
      <c r="N35" s="361"/>
      <c r="O35" s="333">
        <f t="shared" si="16"/>
        <v>638.79999999999995</v>
      </c>
      <c r="P35" s="82">
        <v>114</v>
      </c>
      <c r="Q35" s="79">
        <v>833.6</v>
      </c>
      <c r="R35" s="79"/>
      <c r="S35" s="76">
        <f t="shared" si="17"/>
        <v>947.6</v>
      </c>
      <c r="T35" s="76"/>
      <c r="U35" s="20">
        <f t="shared" si="18"/>
        <v>947.6</v>
      </c>
      <c r="V35" s="82">
        <v>52.8</v>
      </c>
      <c r="W35" s="79">
        <v>700</v>
      </c>
      <c r="X35" s="79"/>
      <c r="Y35" s="76">
        <f t="shared" si="19"/>
        <v>752.8</v>
      </c>
      <c r="Z35" s="76"/>
      <c r="AA35" s="20">
        <f t="shared" si="20"/>
        <v>752.8</v>
      </c>
      <c r="AB35" s="21">
        <f t="shared" si="12"/>
        <v>1.1784596117720727</v>
      </c>
      <c r="AC35" s="3"/>
      <c r="AD35" s="3"/>
    </row>
    <row r="36" spans="1:30" x14ac:dyDescent="0.25">
      <c r="A36" s="1"/>
      <c r="B36" s="22" t="s">
        <v>65</v>
      </c>
      <c r="C36" s="41" t="s">
        <v>66</v>
      </c>
      <c r="D36" s="363">
        <v>49.5</v>
      </c>
      <c r="E36" s="79">
        <v>15185.868</v>
      </c>
      <c r="F36" s="79"/>
      <c r="G36" s="76">
        <f t="shared" si="13"/>
        <v>15235.368</v>
      </c>
      <c r="H36" s="76"/>
      <c r="I36" s="20">
        <f t="shared" si="14"/>
        <v>15235.368</v>
      </c>
      <c r="J36" s="426"/>
      <c r="K36" s="427">
        <v>15033</v>
      </c>
      <c r="L36" s="427"/>
      <c r="M36" s="361">
        <f t="shared" ref="M36" si="21">SUM(J36:L36)</f>
        <v>15033</v>
      </c>
      <c r="N36" s="361"/>
      <c r="O36" s="333">
        <f t="shared" si="16"/>
        <v>15033</v>
      </c>
      <c r="P36" s="82">
        <v>0</v>
      </c>
      <c r="Q36" s="79">
        <v>7490.6440000000002</v>
      </c>
      <c r="R36" s="79"/>
      <c r="S36" s="76">
        <f t="shared" si="17"/>
        <v>7490.6440000000002</v>
      </c>
      <c r="T36" s="76"/>
      <c r="U36" s="20">
        <f t="shared" si="18"/>
        <v>7490.6440000000002</v>
      </c>
      <c r="V36" s="82">
        <v>2350.8000000000002</v>
      </c>
      <c r="W36" s="79">
        <v>16900</v>
      </c>
      <c r="X36" s="79"/>
      <c r="Y36" s="76">
        <f t="shared" si="19"/>
        <v>19250.8</v>
      </c>
      <c r="Z36" s="76"/>
      <c r="AA36" s="20">
        <f t="shared" si="20"/>
        <v>19250.8</v>
      </c>
      <c r="AB36" s="21">
        <f t="shared" si="12"/>
        <v>1.2805694139559636</v>
      </c>
      <c r="AC36" s="3"/>
      <c r="AD36" s="3"/>
    </row>
    <row r="37" spans="1:30" x14ac:dyDescent="0.25">
      <c r="A37" s="1"/>
      <c r="B37" s="22" t="s">
        <v>67</v>
      </c>
      <c r="C37" s="41" t="s">
        <v>68</v>
      </c>
      <c r="D37" s="79"/>
      <c r="E37" s="79"/>
      <c r="F37" s="79"/>
      <c r="G37" s="76">
        <f t="shared" si="13"/>
        <v>0</v>
      </c>
      <c r="H37" s="76"/>
      <c r="I37" s="20">
        <f t="shared" si="14"/>
        <v>0</v>
      </c>
      <c r="J37" s="426"/>
      <c r="K37" s="427"/>
      <c r="L37" s="427"/>
      <c r="M37" s="361">
        <f t="shared" si="15"/>
        <v>0</v>
      </c>
      <c r="N37" s="361"/>
      <c r="O37" s="333">
        <f t="shared" si="16"/>
        <v>0</v>
      </c>
      <c r="P37" s="80"/>
      <c r="Q37" s="79"/>
      <c r="R37" s="79"/>
      <c r="S37" s="76">
        <f t="shared" si="17"/>
        <v>0</v>
      </c>
      <c r="T37" s="76"/>
      <c r="U37" s="20">
        <f t="shared" si="18"/>
        <v>0</v>
      </c>
      <c r="V37" s="80"/>
      <c r="W37" s="79"/>
      <c r="X37" s="79"/>
      <c r="Y37" s="76">
        <f t="shared" si="19"/>
        <v>0</v>
      </c>
      <c r="Z37" s="76"/>
      <c r="AA37" s="20">
        <f t="shared" si="20"/>
        <v>0</v>
      </c>
      <c r="AB37" s="21" t="e">
        <f t="shared" si="12"/>
        <v>#DIV/0!</v>
      </c>
      <c r="AC37" s="3"/>
      <c r="AD37" s="3"/>
    </row>
    <row r="38" spans="1:30" x14ac:dyDescent="0.25">
      <c r="A38" s="1"/>
      <c r="B38" s="22" t="s">
        <v>69</v>
      </c>
      <c r="C38" s="41" t="s">
        <v>70</v>
      </c>
      <c r="D38" s="79">
        <v>1395.355</v>
      </c>
      <c r="E38" s="79"/>
      <c r="F38" s="79">
        <v>895.50099999999998</v>
      </c>
      <c r="G38" s="76">
        <f t="shared" si="13"/>
        <v>2290.8559999999998</v>
      </c>
      <c r="H38" s="76"/>
      <c r="I38" s="20">
        <f t="shared" si="14"/>
        <v>2290.8559999999998</v>
      </c>
      <c r="J38" s="426">
        <v>1500</v>
      </c>
      <c r="K38" s="427"/>
      <c r="L38" s="427">
        <v>895.5</v>
      </c>
      <c r="M38" s="361">
        <f t="shared" si="15"/>
        <v>2395.5</v>
      </c>
      <c r="N38" s="361"/>
      <c r="O38" s="333">
        <f t="shared" si="16"/>
        <v>2395.5</v>
      </c>
      <c r="P38" s="80">
        <v>675.65099999999995</v>
      </c>
      <c r="Q38" s="79"/>
      <c r="R38" s="79">
        <v>215.02699999999999</v>
      </c>
      <c r="S38" s="76">
        <f t="shared" si="17"/>
        <v>890.67799999999988</v>
      </c>
      <c r="T38" s="76"/>
      <c r="U38" s="20">
        <f t="shared" si="18"/>
        <v>890.67799999999988</v>
      </c>
      <c r="V38" s="78">
        <v>1400</v>
      </c>
      <c r="W38" s="79"/>
      <c r="X38" s="75">
        <v>800</v>
      </c>
      <c r="Y38" s="76">
        <f t="shared" si="19"/>
        <v>2200</v>
      </c>
      <c r="Z38" s="76"/>
      <c r="AA38" s="20">
        <f t="shared" si="20"/>
        <v>2200</v>
      </c>
      <c r="AB38" s="21">
        <f t="shared" si="12"/>
        <v>0.91838864537674803</v>
      </c>
      <c r="AC38" s="3"/>
      <c r="AD38" s="3"/>
    </row>
    <row r="39" spans="1:30" ht="15.75" thickBot="1" x14ac:dyDescent="0.3">
      <c r="A39" s="1"/>
      <c r="B39" s="83" t="s">
        <v>71</v>
      </c>
      <c r="C39" s="84" t="s">
        <v>72</v>
      </c>
      <c r="D39" s="85">
        <f>1615.821-0</f>
        <v>1615.8209999999999</v>
      </c>
      <c r="E39" s="85">
        <v>1677.576</v>
      </c>
      <c r="F39" s="89">
        <v>28.687999999999999</v>
      </c>
      <c r="G39" s="76">
        <f t="shared" si="13"/>
        <v>3322.085</v>
      </c>
      <c r="H39" s="87"/>
      <c r="I39" s="50">
        <f t="shared" si="14"/>
        <v>3322.085</v>
      </c>
      <c r="J39" s="431">
        <f>1070+57.8</f>
        <v>1127.8</v>
      </c>
      <c r="K39" s="432">
        <v>1800</v>
      </c>
      <c r="L39" s="432">
        <v>270</v>
      </c>
      <c r="M39" s="364">
        <f t="shared" si="15"/>
        <v>3197.8</v>
      </c>
      <c r="N39" s="364"/>
      <c r="O39" s="351">
        <f t="shared" si="16"/>
        <v>3197.8</v>
      </c>
      <c r="P39" s="88">
        <v>299.45</v>
      </c>
      <c r="Q39" s="89">
        <v>827.89700000000005</v>
      </c>
      <c r="R39" s="89">
        <v>10.468999999999999</v>
      </c>
      <c r="S39" s="87">
        <f t="shared" si="17"/>
        <v>1137.816</v>
      </c>
      <c r="T39" s="87"/>
      <c r="U39" s="50">
        <f t="shared" si="18"/>
        <v>1137.816</v>
      </c>
      <c r="V39" s="88">
        <f>2504-500-0.3</f>
        <v>2003.7</v>
      </c>
      <c r="W39" s="89">
        <v>1700</v>
      </c>
      <c r="X39" s="89"/>
      <c r="Y39" s="87">
        <f t="shared" si="19"/>
        <v>3703.7</v>
      </c>
      <c r="Z39" s="87"/>
      <c r="AA39" s="50">
        <f t="shared" si="20"/>
        <v>3703.7</v>
      </c>
      <c r="AB39" s="51">
        <f t="shared" si="12"/>
        <v>1.1582025142285319</v>
      </c>
      <c r="AC39" s="3"/>
      <c r="AD39" s="3"/>
    </row>
    <row r="40" spans="1:30" ht="15.75" thickBot="1" x14ac:dyDescent="0.3">
      <c r="A40" s="1"/>
      <c r="B40" s="52" t="s">
        <v>73</v>
      </c>
      <c r="C40" s="90" t="s">
        <v>74</v>
      </c>
      <c r="D40" s="91">
        <f>SUM(D36:D39)+SUM(D29:D33)</f>
        <v>10189.688</v>
      </c>
      <c r="E40" s="91">
        <f>SUM(E36:E39)+SUM(E29:E33)</f>
        <v>65626.269</v>
      </c>
      <c r="F40" s="91">
        <f>SUM(F36:F39)+SUM(F29:F33)</f>
        <v>3265.1849999999999</v>
      </c>
      <c r="G40" s="92">
        <f>SUM(D40:F40)</f>
        <v>79081.141999999993</v>
      </c>
      <c r="H40" s="93">
        <f>SUM(H29:H33)+SUM(H36:H39)</f>
        <v>60.9</v>
      </c>
      <c r="I40" s="94">
        <f>SUM(I36:I39)+SUM(I29:I33)</f>
        <v>79142.042000000001</v>
      </c>
      <c r="J40" s="365">
        <f>SUM(J36:J39)+SUM(J29:J33)</f>
        <v>9386.6</v>
      </c>
      <c r="K40" s="365">
        <f>SUM(K36:K39)+SUM(K29:K33)</f>
        <v>64000</v>
      </c>
      <c r="L40" s="365">
        <f>SUM(L36:L39)+SUM(L29:L33)</f>
        <v>3670.5</v>
      </c>
      <c r="M40" s="366">
        <f>SUM(J40:L40)</f>
        <v>77057.100000000006</v>
      </c>
      <c r="N40" s="367">
        <f>SUM(N29:N33)+SUM(N36:N39)</f>
        <v>40</v>
      </c>
      <c r="O40" s="368">
        <f>SUM(O36:O39)+SUM(O29:O33)</f>
        <v>77097.100000000006</v>
      </c>
      <c r="P40" s="91">
        <f>SUM(P36:P39)+SUM(P29:P33)</f>
        <v>4152.5239999999994</v>
      </c>
      <c r="Q40" s="91">
        <f>SUM(Q36:Q39)+SUM(Q29:Q33)</f>
        <v>34214.650999999998</v>
      </c>
      <c r="R40" s="91">
        <f>SUM(R36:R39)+SUM(R29:R33)</f>
        <v>1455.3319999999999</v>
      </c>
      <c r="S40" s="92">
        <f>SUM(P40:R40)</f>
        <v>39822.506999999998</v>
      </c>
      <c r="T40" s="93">
        <f>SUM(T29:T33)+SUM(T36:T39)</f>
        <v>3.6419999999999999</v>
      </c>
      <c r="U40" s="94">
        <f>SUM(U36:U39)+SUM(U29:U33)</f>
        <v>39826.148999999998</v>
      </c>
      <c r="V40" s="91">
        <f>SUM(V36:V39)+SUM(V29:V33)</f>
        <v>19666.240000000002</v>
      </c>
      <c r="W40" s="91">
        <f>SUM(W36:W39)+SUM(W29:W33)</f>
        <v>64900</v>
      </c>
      <c r="X40" s="91">
        <f>SUM(X36:X39)+SUM(X29:X33)</f>
        <v>4000</v>
      </c>
      <c r="Y40" s="92">
        <f>SUM(V40:X40)</f>
        <v>88566.24</v>
      </c>
      <c r="Z40" s="93">
        <f>SUM(Z29:Z33)+SUM(Z36:Z39)</f>
        <v>200</v>
      </c>
      <c r="AA40" s="94">
        <f>SUM(AA36:AA39)+SUM(AA29:AA33)</f>
        <v>88766.24</v>
      </c>
      <c r="AB40" s="95">
        <f t="shared" si="12"/>
        <v>1.1513564064017971</v>
      </c>
      <c r="AC40" s="3"/>
      <c r="AD40" s="3"/>
    </row>
    <row r="41" spans="1:30" ht="19.5" thickBot="1" x14ac:dyDescent="0.35">
      <c r="A41" s="1"/>
      <c r="B41" s="96" t="s">
        <v>75</v>
      </c>
      <c r="C41" s="97" t="s">
        <v>76</v>
      </c>
      <c r="D41" s="98">
        <f t="shared" ref="D41:AA41" si="22">D25-D40</f>
        <v>-1150.7880000000005</v>
      </c>
      <c r="E41" s="98">
        <f t="shared" si="22"/>
        <v>1.0000000038417056E-3</v>
      </c>
      <c r="F41" s="98">
        <f t="shared" si="22"/>
        <v>944.71000000000049</v>
      </c>
      <c r="G41" s="99">
        <f t="shared" si="22"/>
        <v>-206.07699999999022</v>
      </c>
      <c r="H41" s="99">
        <f t="shared" si="22"/>
        <v>224.1747</v>
      </c>
      <c r="I41" s="100">
        <f t="shared" si="22"/>
        <v>18.097700000012992</v>
      </c>
      <c r="J41" s="98">
        <f t="shared" si="22"/>
        <v>0</v>
      </c>
      <c r="K41" s="98">
        <f t="shared" si="22"/>
        <v>0</v>
      </c>
      <c r="L41" s="98">
        <f t="shared" si="22"/>
        <v>-25</v>
      </c>
      <c r="M41" s="369">
        <f t="shared" si="22"/>
        <v>-25</v>
      </c>
      <c r="N41" s="369">
        <f t="shared" si="22"/>
        <v>160</v>
      </c>
      <c r="O41" s="370">
        <f t="shared" si="22"/>
        <v>135</v>
      </c>
      <c r="P41" s="98">
        <f t="shared" si="22"/>
        <v>825.87600000000111</v>
      </c>
      <c r="Q41" s="98">
        <f t="shared" si="22"/>
        <v>-20.125999999996566</v>
      </c>
      <c r="R41" s="98">
        <f t="shared" si="22"/>
        <v>320.97299999999996</v>
      </c>
      <c r="S41" s="99">
        <f t="shared" si="22"/>
        <v>1126.7230000000054</v>
      </c>
      <c r="T41" s="99">
        <f t="shared" si="22"/>
        <v>146.75700000000001</v>
      </c>
      <c r="U41" s="100">
        <f t="shared" si="22"/>
        <v>1273.4800000000032</v>
      </c>
      <c r="V41" s="98">
        <f t="shared" si="22"/>
        <v>-4.0000000004511094E-2</v>
      </c>
      <c r="W41" s="98">
        <f t="shared" si="22"/>
        <v>0</v>
      </c>
      <c r="X41" s="98">
        <f t="shared" si="22"/>
        <v>0</v>
      </c>
      <c r="Y41" s="99">
        <f t="shared" si="22"/>
        <v>-4.0000000008149073E-2</v>
      </c>
      <c r="Z41" s="99">
        <f t="shared" si="22"/>
        <v>0</v>
      </c>
      <c r="AA41" s="100">
        <f t="shared" si="22"/>
        <v>-4.0000000008149073E-2</v>
      </c>
      <c r="AB41" s="104">
        <f t="shared" si="12"/>
        <v>-2.9629629635665979E-4</v>
      </c>
      <c r="AC41" s="3"/>
      <c r="AD41" s="3"/>
    </row>
    <row r="42" spans="1:30" ht="15.75" thickBot="1" x14ac:dyDescent="0.3">
      <c r="A42" s="1"/>
      <c r="B42" s="105" t="s">
        <v>77</v>
      </c>
      <c r="C42" s="106" t="s">
        <v>78</v>
      </c>
      <c r="D42" s="107"/>
      <c r="E42" s="108"/>
      <c r="F42" s="108"/>
      <c r="G42" s="109"/>
      <c r="H42" s="110"/>
      <c r="I42" s="111">
        <f>I41-D16</f>
        <v>-8167.1022999999868</v>
      </c>
      <c r="J42" s="107"/>
      <c r="K42" s="108"/>
      <c r="L42" s="108"/>
      <c r="M42" s="109"/>
      <c r="N42" s="113"/>
      <c r="O42" s="111">
        <f>O41-J16</f>
        <v>-8829.7999999999993</v>
      </c>
      <c r="P42" s="107"/>
      <c r="Q42" s="108"/>
      <c r="R42" s="108"/>
      <c r="S42" s="109"/>
      <c r="T42" s="113"/>
      <c r="U42" s="111">
        <f>U41-P16</f>
        <v>-3605.319999999997</v>
      </c>
      <c r="V42" s="107"/>
      <c r="W42" s="108"/>
      <c r="X42" s="108"/>
      <c r="Y42" s="109"/>
      <c r="Z42" s="113"/>
      <c r="AA42" s="111">
        <f>AA41-V16</f>
        <v>-9629.9400000000078</v>
      </c>
      <c r="AB42" s="21">
        <f t="shared" si="12"/>
        <v>1.0906181340460723</v>
      </c>
      <c r="AC42" s="3"/>
      <c r="AD42" s="3"/>
    </row>
    <row r="43" spans="1:30" s="121" customFormat="1" ht="8.25" customHeight="1" thickBot="1" x14ac:dyDescent="0.3">
      <c r="A43" s="115"/>
      <c r="B43" s="116"/>
      <c r="C43" s="117"/>
      <c r="D43" s="118"/>
      <c r="E43" s="119"/>
      <c r="F43" s="119"/>
      <c r="G43" s="115"/>
      <c r="H43" s="119"/>
      <c r="I43" s="119"/>
      <c r="J43" s="118"/>
      <c r="K43" s="119"/>
      <c r="L43" s="119"/>
      <c r="M43" s="115"/>
      <c r="N43" s="119"/>
      <c r="O43" s="119"/>
      <c r="P43" s="119"/>
      <c r="Q43" s="119"/>
      <c r="R43" s="119"/>
      <c r="S43" s="119"/>
      <c r="T43" s="119"/>
      <c r="U43" s="119"/>
      <c r="V43" s="120"/>
      <c r="W43" s="120"/>
      <c r="X43" s="120"/>
      <c r="Y43" s="120"/>
      <c r="Z43" s="120"/>
      <c r="AA43" s="120"/>
      <c r="AB43" s="120"/>
      <c r="AC43" s="120"/>
      <c r="AD43" s="120"/>
    </row>
    <row r="44" spans="1:30" s="121" customFormat="1" ht="15.75" customHeight="1" thickBot="1" x14ac:dyDescent="0.3">
      <c r="A44" s="115"/>
      <c r="B44" s="122"/>
      <c r="C44" s="582" t="s">
        <v>79</v>
      </c>
      <c r="D44" s="123" t="s">
        <v>80</v>
      </c>
      <c r="E44" s="124" t="s">
        <v>81</v>
      </c>
      <c r="F44" s="125" t="s">
        <v>82</v>
      </c>
      <c r="G44" s="119"/>
      <c r="H44" s="119"/>
      <c r="I44" s="126"/>
      <c r="J44" s="123" t="s">
        <v>80</v>
      </c>
      <c r="K44" s="124" t="s">
        <v>81</v>
      </c>
      <c r="L44" s="125" t="s">
        <v>82</v>
      </c>
      <c r="M44" s="119"/>
      <c r="N44" s="119"/>
      <c r="O44" s="119"/>
      <c r="P44" s="123" t="s">
        <v>80</v>
      </c>
      <c r="Q44" s="124" t="s">
        <v>81</v>
      </c>
      <c r="R44" s="125" t="s">
        <v>82</v>
      </c>
      <c r="S44" s="120"/>
      <c r="T44" s="120"/>
      <c r="U44" s="120"/>
      <c r="V44" s="123" t="s">
        <v>80</v>
      </c>
      <c r="W44" s="124" t="s">
        <v>81</v>
      </c>
      <c r="X44" s="125" t="s">
        <v>82</v>
      </c>
      <c r="Y44" s="120"/>
      <c r="Z44" s="120"/>
      <c r="AA44" s="120"/>
      <c r="AB44" s="120"/>
      <c r="AC44" s="120"/>
      <c r="AD44" s="120"/>
    </row>
    <row r="45" spans="1:30" ht="15.75" thickBot="1" x14ac:dyDescent="0.3">
      <c r="A45" s="1"/>
      <c r="B45" s="122"/>
      <c r="C45" s="583"/>
      <c r="D45" s="127">
        <v>908.88099999999997</v>
      </c>
      <c r="E45" s="128">
        <v>908.88099999999997</v>
      </c>
      <c r="F45" s="129">
        <v>0</v>
      </c>
      <c r="G45" s="119"/>
      <c r="H45" s="119"/>
      <c r="I45" s="126"/>
      <c r="J45" s="127">
        <f>952.057</f>
        <v>952.05700000000002</v>
      </c>
      <c r="K45" s="128">
        <v>952.01</v>
      </c>
      <c r="L45" s="129">
        <v>0</v>
      </c>
      <c r="M45" s="130"/>
      <c r="N45" s="130"/>
      <c r="O45" s="130"/>
      <c r="P45" s="127">
        <v>476.02800000000002</v>
      </c>
      <c r="Q45" s="128">
        <v>476.02800000000002</v>
      </c>
      <c r="R45" s="129">
        <v>0</v>
      </c>
      <c r="S45" s="3"/>
      <c r="T45" s="3"/>
      <c r="U45" s="3"/>
      <c r="V45" s="127">
        <v>952.05700000000002</v>
      </c>
      <c r="W45" s="128">
        <v>952.1</v>
      </c>
      <c r="X45" s="129">
        <v>0</v>
      </c>
      <c r="Y45" s="3"/>
      <c r="Z45" s="3"/>
      <c r="AA45" s="3"/>
      <c r="AB45" s="3"/>
      <c r="AC45" s="3"/>
      <c r="AD45" s="3"/>
    </row>
    <row r="46" spans="1:30" s="121" customFormat="1" ht="8.25" customHeight="1" thickBot="1" x14ac:dyDescent="0.3">
      <c r="A46" s="115"/>
      <c r="B46" s="122"/>
      <c r="C46" s="117"/>
      <c r="D46" s="130"/>
      <c r="E46" s="119"/>
      <c r="F46" s="119"/>
      <c r="G46" s="119"/>
      <c r="H46" s="119"/>
      <c r="I46" s="126"/>
      <c r="J46" s="119"/>
      <c r="K46" s="119"/>
      <c r="L46" s="119"/>
      <c r="M46" s="119"/>
      <c r="N46" s="119"/>
      <c r="O46" s="126"/>
      <c r="P46" s="126"/>
      <c r="Q46" s="126"/>
      <c r="R46" s="126"/>
      <c r="S46" s="126"/>
      <c r="T46" s="126"/>
      <c r="U46" s="126"/>
      <c r="V46" s="120"/>
      <c r="W46" s="120"/>
      <c r="X46" s="120"/>
      <c r="Y46" s="120"/>
      <c r="Z46" s="120"/>
      <c r="AA46" s="120"/>
      <c r="AB46" s="120"/>
      <c r="AC46" s="120"/>
      <c r="AD46" s="120"/>
    </row>
    <row r="47" spans="1:30" s="121" customFormat="1" ht="37.5" customHeight="1" thickBot="1" x14ac:dyDescent="0.3">
      <c r="A47" s="115"/>
      <c r="B47" s="122"/>
      <c r="C47" s="582" t="s">
        <v>83</v>
      </c>
      <c r="D47" s="131" t="s">
        <v>84</v>
      </c>
      <c r="E47" s="132" t="s">
        <v>85</v>
      </c>
      <c r="F47" s="119"/>
      <c r="G47" s="119"/>
      <c r="H47" s="119"/>
      <c r="I47" s="126"/>
      <c r="J47" s="131" t="s">
        <v>84</v>
      </c>
      <c r="K47" s="132" t="s">
        <v>85</v>
      </c>
      <c r="L47" s="133"/>
      <c r="M47" s="133"/>
      <c r="N47" s="120"/>
      <c r="O47" s="120"/>
      <c r="P47" s="131" t="s">
        <v>84</v>
      </c>
      <c r="Q47" s="132" t="s">
        <v>85</v>
      </c>
      <c r="R47" s="120"/>
      <c r="S47" s="120"/>
      <c r="T47" s="120"/>
      <c r="U47" s="120"/>
      <c r="V47" s="131" t="s">
        <v>84</v>
      </c>
      <c r="W47" s="132" t="s">
        <v>85</v>
      </c>
      <c r="X47" s="120"/>
      <c r="Y47" s="120"/>
      <c r="Z47" s="120"/>
      <c r="AA47" s="120"/>
      <c r="AB47" s="120"/>
      <c r="AC47" s="120"/>
      <c r="AD47" s="120"/>
    </row>
    <row r="48" spans="1:30" ht="15.75" thickBot="1" x14ac:dyDescent="0.3">
      <c r="A48" s="1"/>
      <c r="B48" s="134"/>
      <c r="C48" s="584"/>
      <c r="D48" s="127">
        <v>0</v>
      </c>
      <c r="E48" s="135">
        <v>0</v>
      </c>
      <c r="F48" s="119"/>
      <c r="G48" s="119"/>
      <c r="H48" s="119"/>
      <c r="I48" s="126"/>
      <c r="J48" s="127">
        <v>0</v>
      </c>
      <c r="K48" s="135">
        <v>0</v>
      </c>
      <c r="L48" s="136"/>
      <c r="M48" s="136"/>
      <c r="N48" s="3"/>
      <c r="O48" s="3"/>
      <c r="P48" s="127">
        <v>0</v>
      </c>
      <c r="Q48" s="135">
        <v>0</v>
      </c>
      <c r="R48" s="3"/>
      <c r="S48" s="3"/>
      <c r="T48" s="3"/>
      <c r="U48" s="3"/>
      <c r="V48" s="127">
        <v>0</v>
      </c>
      <c r="W48" s="135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34"/>
      <c r="C49" s="117"/>
      <c r="D49" s="119"/>
      <c r="E49" s="119"/>
      <c r="F49" s="119"/>
      <c r="G49" s="119"/>
      <c r="H49" s="119"/>
      <c r="I49" s="126"/>
      <c r="J49" s="119"/>
      <c r="K49" s="119"/>
      <c r="L49" s="119"/>
      <c r="M49" s="119"/>
      <c r="N49" s="119"/>
      <c r="O49" s="126"/>
      <c r="P49" s="126"/>
      <c r="Q49" s="126"/>
      <c r="R49" s="126"/>
      <c r="S49" s="126"/>
      <c r="T49" s="126"/>
      <c r="U49" s="126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1"/>
      <c r="B50" s="134"/>
      <c r="C50" s="137" t="s">
        <v>86</v>
      </c>
      <c r="D50" s="138" t="s">
        <v>87</v>
      </c>
      <c r="E50" s="138" t="s">
        <v>88</v>
      </c>
      <c r="F50" s="138" t="s">
        <v>89</v>
      </c>
      <c r="G50" s="138" t="s">
        <v>90</v>
      </c>
      <c r="H50" s="119"/>
      <c r="I50" s="3"/>
      <c r="J50" s="138" t="s">
        <v>87</v>
      </c>
      <c r="K50" s="138" t="s">
        <v>88</v>
      </c>
      <c r="L50" s="138" t="s">
        <v>89</v>
      </c>
      <c r="M50" s="138" t="s">
        <v>91</v>
      </c>
      <c r="N50" s="3"/>
      <c r="O50" s="3"/>
      <c r="P50" s="138" t="s">
        <v>87</v>
      </c>
      <c r="Q50" s="138" t="s">
        <v>88</v>
      </c>
      <c r="R50" s="138" t="s">
        <v>89</v>
      </c>
      <c r="S50" s="138" t="s">
        <v>91</v>
      </c>
      <c r="T50" s="3"/>
      <c r="U50" s="3"/>
      <c r="V50" s="138" t="s">
        <v>92</v>
      </c>
      <c r="W50" s="138" t="s">
        <v>88</v>
      </c>
      <c r="X50" s="138" t="s">
        <v>89</v>
      </c>
      <c r="Y50" s="138" t="s">
        <v>91</v>
      </c>
      <c r="Z50" s="3"/>
      <c r="AA50" s="3"/>
      <c r="AB50" s="3"/>
      <c r="AC50" s="3"/>
      <c r="AD50" s="3"/>
    </row>
    <row r="51" spans="1:30" x14ac:dyDescent="0.25">
      <c r="A51" s="1"/>
      <c r="B51" s="134"/>
      <c r="C51" s="139" t="s">
        <v>93</v>
      </c>
      <c r="D51" s="140"/>
      <c r="E51" s="140"/>
      <c r="F51" s="140"/>
      <c r="G51" s="141">
        <f>D51+E51-F51</f>
        <v>0</v>
      </c>
      <c r="H51" s="119"/>
      <c r="I51" s="3"/>
      <c r="J51" s="141"/>
      <c r="K51" s="140"/>
      <c r="L51" s="140"/>
      <c r="M51" s="141">
        <f>J51+K51-L51</f>
        <v>0</v>
      </c>
      <c r="N51" s="3"/>
      <c r="O51" s="3"/>
      <c r="P51" s="140"/>
      <c r="Q51" s="140"/>
      <c r="R51" s="140"/>
      <c r="S51" s="141">
        <f>P51+Q51-R51</f>
        <v>0</v>
      </c>
      <c r="T51" s="3"/>
      <c r="U51" s="3"/>
      <c r="V51" s="140"/>
      <c r="W51" s="140"/>
      <c r="X51" s="140"/>
      <c r="Y51" s="141">
        <f>V51+W51-X51</f>
        <v>0</v>
      </c>
      <c r="Z51" s="3"/>
      <c r="AA51" s="3"/>
      <c r="AB51" s="3"/>
      <c r="AC51" s="3"/>
      <c r="AD51" s="3"/>
    </row>
    <row r="52" spans="1:30" x14ac:dyDescent="0.25">
      <c r="A52" s="1"/>
      <c r="B52" s="134"/>
      <c r="C52" s="139" t="s">
        <v>323</v>
      </c>
      <c r="D52" s="140">
        <v>346.334</v>
      </c>
      <c r="E52" s="140">
        <v>91.215000000000003</v>
      </c>
      <c r="F52" s="140">
        <v>80</v>
      </c>
      <c r="G52" s="141">
        <f>D52+E52-F52</f>
        <v>357.54899999999998</v>
      </c>
      <c r="H52" s="119"/>
      <c r="I52" s="3"/>
      <c r="J52" s="141">
        <f>G52</f>
        <v>357.54899999999998</v>
      </c>
      <c r="K52" s="140">
        <v>30</v>
      </c>
      <c r="L52" s="140">
        <v>50</v>
      </c>
      <c r="M52" s="141">
        <f>J52+K52-L52</f>
        <v>337.54899999999998</v>
      </c>
      <c r="N52" s="3"/>
      <c r="O52" s="3"/>
      <c r="P52" s="140">
        <v>357.54899999999998</v>
      </c>
      <c r="Q52" s="140">
        <v>18.106000000000002</v>
      </c>
      <c r="R52" s="140"/>
      <c r="S52" s="141">
        <f>P52+Q52-R52</f>
        <v>375.65499999999997</v>
      </c>
      <c r="T52" s="3"/>
      <c r="U52" s="3"/>
      <c r="V52" s="140">
        <v>375.7</v>
      </c>
      <c r="W52" s="140">
        <v>0</v>
      </c>
      <c r="X52" s="140">
        <v>50</v>
      </c>
      <c r="Y52" s="141">
        <f>V52+W52-X52</f>
        <v>325.7</v>
      </c>
      <c r="Z52" s="3"/>
      <c r="AA52" s="3"/>
      <c r="AB52" s="3"/>
      <c r="AC52" s="3"/>
      <c r="AD52" s="3"/>
    </row>
    <row r="53" spans="1:30" x14ac:dyDescent="0.25">
      <c r="A53" s="1"/>
      <c r="B53" s="134"/>
      <c r="C53" s="139" t="s">
        <v>324</v>
      </c>
      <c r="D53" s="140">
        <v>5132.0839999999998</v>
      </c>
      <c r="E53" s="140">
        <v>4185.1220000000003</v>
      </c>
      <c r="F53" s="140">
        <v>5128.1019999999999</v>
      </c>
      <c r="G53" s="141">
        <f t="shared" ref="G53:G56" si="23">D53+E53-F53</f>
        <v>4189.1040000000003</v>
      </c>
      <c r="H53" s="119"/>
      <c r="I53" s="3"/>
      <c r="J53" s="141">
        <f t="shared" ref="J53:J56" si="24">G53</f>
        <v>4189.1040000000003</v>
      </c>
      <c r="K53" s="140">
        <v>100</v>
      </c>
      <c r="L53" s="140">
        <v>1000</v>
      </c>
      <c r="M53" s="141">
        <f t="shared" ref="M53:M56" si="25">J53+K53-L53</f>
        <v>3289.1040000000003</v>
      </c>
      <c r="N53" s="3"/>
      <c r="O53" s="3"/>
      <c r="P53" s="140">
        <v>4189.1040000000003</v>
      </c>
      <c r="Q53" s="140">
        <v>228.29900000000001</v>
      </c>
      <c r="R53" s="140">
        <v>4076.7310000000002</v>
      </c>
      <c r="S53" s="141">
        <f t="shared" ref="S53:S56" si="26">P53+Q53-R53</f>
        <v>340.67200000000003</v>
      </c>
      <c r="T53" s="3"/>
      <c r="U53" s="3"/>
      <c r="V53" s="140">
        <f>800+150+100</f>
        <v>1050</v>
      </c>
      <c r="W53" s="140">
        <v>150</v>
      </c>
      <c r="X53" s="140">
        <v>1000</v>
      </c>
      <c r="Y53" s="141">
        <f t="shared" ref="Y53:Y56" si="27">V53+W53-X53</f>
        <v>200</v>
      </c>
      <c r="Z53" s="3"/>
      <c r="AA53" s="3"/>
      <c r="AB53" s="3"/>
      <c r="AC53" s="3"/>
      <c r="AD53" s="3"/>
    </row>
    <row r="54" spans="1:30" x14ac:dyDescent="0.25">
      <c r="A54" s="1"/>
      <c r="B54" s="134"/>
      <c r="C54" s="139" t="s">
        <v>95</v>
      </c>
      <c r="D54" s="140">
        <v>166.51499999999999</v>
      </c>
      <c r="E54" s="140">
        <v>1395.355</v>
      </c>
      <c r="F54" s="140">
        <v>970.649</v>
      </c>
      <c r="G54" s="141">
        <f t="shared" si="23"/>
        <v>591.22099999999989</v>
      </c>
      <c r="H54" s="119"/>
      <c r="I54" s="3"/>
      <c r="J54" s="141">
        <f t="shared" si="24"/>
        <v>591.22099999999989</v>
      </c>
      <c r="K54" s="140">
        <v>1300</v>
      </c>
      <c r="L54" s="140">
        <v>500</v>
      </c>
      <c r="M54" s="141">
        <f t="shared" si="25"/>
        <v>1391.221</v>
      </c>
      <c r="N54" s="3"/>
      <c r="O54" s="3"/>
      <c r="P54" s="140">
        <v>591.221</v>
      </c>
      <c r="Q54" s="140">
        <v>675.65099999999995</v>
      </c>
      <c r="R54" s="140">
        <v>476.02800000000002</v>
      </c>
      <c r="S54" s="141">
        <f t="shared" si="26"/>
        <v>790.84399999999982</v>
      </c>
      <c r="T54" s="3"/>
      <c r="U54" s="3"/>
      <c r="V54" s="140">
        <v>990</v>
      </c>
      <c r="W54" s="140">
        <v>1200</v>
      </c>
      <c r="X54" s="140">
        <f>900+700</f>
        <v>1600</v>
      </c>
      <c r="Y54" s="141">
        <f t="shared" si="27"/>
        <v>590</v>
      </c>
      <c r="Z54" s="3"/>
      <c r="AA54" s="3"/>
      <c r="AB54" s="3"/>
      <c r="AC54" s="3"/>
      <c r="AD54" s="3"/>
    </row>
    <row r="55" spans="1:30" x14ac:dyDescent="0.25">
      <c r="A55" s="1"/>
      <c r="B55" s="134"/>
      <c r="C55" s="139" t="s">
        <v>96</v>
      </c>
      <c r="D55" s="140">
        <v>195.14400000000001</v>
      </c>
      <c r="E55" s="140">
        <v>22.803000000000001</v>
      </c>
      <c r="F55" s="140"/>
      <c r="G55" s="141">
        <f t="shared" si="23"/>
        <v>217.947</v>
      </c>
      <c r="H55" s="119"/>
      <c r="I55" s="3"/>
      <c r="J55" s="141">
        <f t="shared" si="24"/>
        <v>217.947</v>
      </c>
      <c r="K55" s="140">
        <v>10</v>
      </c>
      <c r="L55" s="140">
        <v>70</v>
      </c>
      <c r="M55" s="141">
        <f t="shared" si="25"/>
        <v>157.947</v>
      </c>
      <c r="N55" s="3"/>
      <c r="O55" s="3"/>
      <c r="P55" s="140">
        <v>217.947</v>
      </c>
      <c r="Q55" s="140"/>
      <c r="R55" s="140"/>
      <c r="S55" s="141">
        <f t="shared" si="26"/>
        <v>217.947</v>
      </c>
      <c r="T55" s="3"/>
      <c r="U55" s="3"/>
      <c r="V55" s="140">
        <v>150</v>
      </c>
      <c r="W55" s="140">
        <v>5</v>
      </c>
      <c r="X55" s="140">
        <v>10</v>
      </c>
      <c r="Y55" s="141">
        <f t="shared" si="27"/>
        <v>145</v>
      </c>
      <c r="Z55" s="3"/>
      <c r="AA55" s="3"/>
      <c r="AB55" s="3"/>
      <c r="AC55" s="3"/>
      <c r="AD55" s="3"/>
    </row>
    <row r="56" spans="1:30" x14ac:dyDescent="0.25">
      <c r="A56" s="1"/>
      <c r="B56" s="134"/>
      <c r="C56" s="142" t="s">
        <v>97</v>
      </c>
      <c r="D56" s="140">
        <v>932.83199999999999</v>
      </c>
      <c r="E56" s="140">
        <v>459.46300000000002</v>
      </c>
      <c r="F56" s="140">
        <f>222.034+350.8+18+42.4+48.5</f>
        <v>681.73400000000004</v>
      </c>
      <c r="G56" s="141">
        <f t="shared" si="23"/>
        <v>710.56100000000004</v>
      </c>
      <c r="H56" s="119"/>
      <c r="I56" s="3"/>
      <c r="J56" s="141">
        <f t="shared" si="24"/>
        <v>710.56100000000004</v>
      </c>
      <c r="K56" s="140">
        <v>420</v>
      </c>
      <c r="L56" s="140">
        <v>600</v>
      </c>
      <c r="M56" s="141">
        <f t="shared" si="25"/>
        <v>530.56100000000015</v>
      </c>
      <c r="N56" s="3"/>
      <c r="O56" s="3"/>
      <c r="P56" s="140">
        <v>710.56200000000001</v>
      </c>
      <c r="Q56" s="140">
        <v>226.178</v>
      </c>
      <c r="R56" s="140">
        <v>366.81900000000002</v>
      </c>
      <c r="S56" s="141">
        <f t="shared" si="26"/>
        <v>569.92100000000005</v>
      </c>
      <c r="T56" s="3"/>
      <c r="U56" s="3"/>
      <c r="V56" s="140">
        <v>420</v>
      </c>
      <c r="W56" s="140">
        <v>450</v>
      </c>
      <c r="X56" s="140">
        <v>600</v>
      </c>
      <c r="Y56" s="141">
        <f t="shared" si="27"/>
        <v>270</v>
      </c>
      <c r="Z56" s="3"/>
      <c r="AA56" s="3"/>
      <c r="AB56" s="3"/>
      <c r="AC56" s="3"/>
      <c r="AD56" s="3"/>
    </row>
    <row r="57" spans="1:30" ht="10.5" customHeight="1" x14ac:dyDescent="0.25">
      <c r="A57" s="1"/>
      <c r="B57" s="134"/>
      <c r="C57" s="117"/>
      <c r="D57" s="119"/>
      <c r="E57" s="119"/>
      <c r="F57" s="119"/>
      <c r="G57" s="119"/>
      <c r="H57" s="11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34"/>
      <c r="C58" s="137" t="s">
        <v>98</v>
      </c>
      <c r="D58" s="138" t="s">
        <v>99</v>
      </c>
      <c r="E58" s="138" t="s">
        <v>100</v>
      </c>
      <c r="F58" s="119"/>
      <c r="G58" s="119"/>
      <c r="H58" s="119"/>
      <c r="I58" s="126"/>
      <c r="J58" s="138" t="s">
        <v>101</v>
      </c>
      <c r="K58" s="119"/>
      <c r="L58" s="119"/>
      <c r="M58" s="119"/>
      <c r="N58" s="119"/>
      <c r="O58" s="126"/>
      <c r="P58" s="138" t="s">
        <v>102</v>
      </c>
      <c r="Q58" s="126"/>
      <c r="R58" s="126"/>
      <c r="S58" s="3"/>
      <c r="T58" s="3"/>
      <c r="U58" s="3"/>
      <c r="V58" s="704" t="s">
        <v>98</v>
      </c>
      <c r="W58" s="704"/>
      <c r="X58" s="704"/>
      <c r="Y58" s="138" t="s">
        <v>101</v>
      </c>
      <c r="Z58" s="3"/>
      <c r="AA58" s="3"/>
      <c r="AB58" s="3"/>
      <c r="AC58" s="3"/>
      <c r="AD58" s="3"/>
    </row>
    <row r="59" spans="1:30" x14ac:dyDescent="0.25">
      <c r="A59" s="1"/>
      <c r="B59" s="134"/>
      <c r="C59" s="371" t="s">
        <v>128</v>
      </c>
      <c r="D59" s="372">
        <v>90.225399999999993</v>
      </c>
      <c r="E59" s="372">
        <v>89.228300000000004</v>
      </c>
      <c r="F59" s="119"/>
      <c r="G59" s="119"/>
      <c r="H59" s="119"/>
      <c r="I59" s="126"/>
      <c r="J59" s="143"/>
      <c r="K59" s="119"/>
      <c r="L59" s="119"/>
      <c r="M59" s="119"/>
      <c r="N59" s="119"/>
      <c r="O59" s="126"/>
      <c r="P59" s="143">
        <v>87.83</v>
      </c>
      <c r="Q59" s="126"/>
      <c r="R59" s="126"/>
      <c r="S59" s="3"/>
      <c r="T59" s="3"/>
      <c r="U59" s="3"/>
      <c r="V59" s="698" t="s">
        <v>128</v>
      </c>
      <c r="W59" s="698"/>
      <c r="X59" s="698"/>
      <c r="Y59" s="143">
        <v>90</v>
      </c>
      <c r="Z59" s="3"/>
      <c r="AA59" s="3"/>
      <c r="AB59" s="3"/>
      <c r="AC59" s="3"/>
      <c r="AD59" s="3"/>
    </row>
    <row r="60" spans="1:30" x14ac:dyDescent="0.25">
      <c r="A60" s="1"/>
      <c r="B60" s="134"/>
      <c r="C60" s="373"/>
      <c r="D60" s="374"/>
      <c r="E60" s="374"/>
      <c r="F60" s="119"/>
      <c r="G60" s="119"/>
      <c r="H60" s="119"/>
      <c r="I60" s="126"/>
      <c r="J60" s="130"/>
      <c r="K60" s="119"/>
      <c r="L60" s="119"/>
      <c r="M60" s="119"/>
      <c r="N60" s="119"/>
      <c r="O60" s="126"/>
      <c r="P60" s="130"/>
      <c r="Q60" s="126"/>
      <c r="R60" s="126"/>
      <c r="S60" s="3"/>
      <c r="T60" s="3"/>
      <c r="U60" s="3"/>
      <c r="V60" s="698" t="s">
        <v>129</v>
      </c>
      <c r="W60" s="698"/>
      <c r="X60" s="698"/>
      <c r="Y60" s="143">
        <v>19</v>
      </c>
      <c r="Z60" s="3"/>
      <c r="AA60" s="3"/>
      <c r="AB60" s="3"/>
      <c r="AC60" s="3"/>
      <c r="AD60" s="3"/>
    </row>
    <row r="61" spans="1:30" s="3" customFormat="1" x14ac:dyDescent="0.25">
      <c r="A61" s="1"/>
      <c r="B61" s="134"/>
      <c r="C61" s="117"/>
      <c r="D61" s="130"/>
      <c r="E61" s="130"/>
      <c r="F61" s="119"/>
      <c r="G61" s="119"/>
      <c r="H61" s="119"/>
      <c r="I61" s="126"/>
      <c r="J61" s="130"/>
      <c r="K61" s="119"/>
      <c r="L61" s="119"/>
      <c r="M61" s="119"/>
      <c r="N61" s="119"/>
      <c r="O61" s="126"/>
      <c r="P61" s="130"/>
      <c r="Q61" s="126"/>
      <c r="R61" s="126"/>
      <c r="S61" s="126"/>
      <c r="T61" s="126"/>
      <c r="U61" s="126"/>
      <c r="V61" s="130"/>
    </row>
    <row r="62" spans="1:30" x14ac:dyDescent="0.25">
      <c r="A62" s="1"/>
      <c r="B62" s="134"/>
      <c r="C62" s="117"/>
      <c r="D62" s="699"/>
      <c r="E62" s="699"/>
      <c r="F62" s="119"/>
      <c r="G62" s="119"/>
      <c r="H62" s="119"/>
      <c r="I62" s="126"/>
      <c r="J62" s="375"/>
      <c r="K62" s="119"/>
      <c r="L62" s="119"/>
      <c r="M62" s="119"/>
      <c r="N62" s="119"/>
      <c r="O62" s="126"/>
      <c r="P62" s="375"/>
      <c r="Q62" s="126"/>
      <c r="R62" s="126"/>
      <c r="S62" s="126"/>
      <c r="T62" s="126"/>
      <c r="U62" s="126"/>
      <c r="V62" s="730" t="s">
        <v>130</v>
      </c>
      <c r="W62" s="731"/>
      <c r="X62" s="732"/>
      <c r="Y62" s="143">
        <f>Y68+Y70</f>
        <v>6368.9400000000005</v>
      </c>
      <c r="Z62" s="3"/>
      <c r="AA62" s="3"/>
      <c r="AB62" s="3"/>
      <c r="AC62" s="3"/>
      <c r="AD62" s="3"/>
    </row>
    <row r="63" spans="1:30" x14ac:dyDescent="0.25">
      <c r="A63" s="1"/>
      <c r="B63" s="134"/>
      <c r="C63" s="117"/>
      <c r="D63" s="375"/>
      <c r="E63" s="375"/>
      <c r="F63" s="119"/>
      <c r="G63" s="119"/>
      <c r="H63" s="119"/>
      <c r="I63" s="126"/>
      <c r="J63" s="375"/>
      <c r="K63" s="119"/>
      <c r="L63" s="119"/>
      <c r="M63" s="119"/>
      <c r="N63" s="119"/>
      <c r="O63" s="126"/>
      <c r="P63" s="375"/>
      <c r="Q63" s="126"/>
      <c r="R63" s="126"/>
      <c r="S63" s="126"/>
      <c r="T63" s="126"/>
      <c r="U63" s="126"/>
      <c r="V63" s="779" t="s">
        <v>325</v>
      </c>
      <c r="W63" s="779"/>
      <c r="X63" s="779"/>
      <c r="Y63" s="143">
        <v>687.17</v>
      </c>
      <c r="Z63" s="3"/>
      <c r="AA63" s="3"/>
      <c r="AB63" s="3"/>
      <c r="AC63" s="3"/>
      <c r="AD63" s="3"/>
    </row>
    <row r="64" spans="1:30" x14ac:dyDescent="0.25">
      <c r="A64" s="1"/>
      <c r="B64" s="134"/>
      <c r="C64" s="117"/>
      <c r="D64" s="375"/>
      <c r="E64" s="375"/>
      <c r="F64" s="119"/>
      <c r="G64" s="119"/>
      <c r="H64" s="119"/>
      <c r="I64" s="126"/>
      <c r="J64" s="375"/>
      <c r="K64" s="119"/>
      <c r="L64" s="119"/>
      <c r="M64" s="119"/>
      <c r="N64" s="119"/>
      <c r="O64" s="126"/>
      <c r="P64" s="375"/>
      <c r="Q64" s="126"/>
      <c r="R64" s="126"/>
      <c r="S64" s="126"/>
      <c r="T64" s="126"/>
      <c r="U64" s="126"/>
      <c r="V64" s="730" t="s">
        <v>251</v>
      </c>
      <c r="W64" s="731"/>
      <c r="X64" s="732"/>
      <c r="Y64" s="143">
        <v>200.5</v>
      </c>
      <c r="Z64" s="3"/>
      <c r="AA64" s="3"/>
      <c r="AB64" s="3"/>
      <c r="AC64" s="3"/>
      <c r="AD64" s="3"/>
    </row>
    <row r="65" spans="1:30" x14ac:dyDescent="0.25">
      <c r="A65" s="1"/>
      <c r="B65" s="134"/>
      <c r="C65" s="117"/>
      <c r="D65" s="375"/>
      <c r="E65" s="375"/>
      <c r="F65" s="119"/>
      <c r="G65" s="119"/>
      <c r="H65" s="119"/>
      <c r="I65" s="126"/>
      <c r="J65" s="375"/>
      <c r="K65" s="119"/>
      <c r="L65" s="119"/>
      <c r="M65" s="119"/>
      <c r="N65" s="119"/>
      <c r="O65" s="126"/>
      <c r="P65" s="375"/>
      <c r="Q65" s="126"/>
      <c r="R65" s="126"/>
      <c r="S65" s="126"/>
      <c r="T65" s="126"/>
      <c r="U65" s="126"/>
      <c r="V65" s="779" t="s">
        <v>229</v>
      </c>
      <c r="W65" s="779"/>
      <c r="X65" s="779"/>
      <c r="Y65" s="143">
        <f>Y62+Y63+Y64</f>
        <v>7256.6100000000006</v>
      </c>
      <c r="Z65" s="3"/>
      <c r="AA65" s="3"/>
      <c r="AB65" s="3"/>
      <c r="AC65" s="3"/>
      <c r="AD65" s="3"/>
    </row>
    <row r="66" spans="1:30" s="3" customFormat="1" x14ac:dyDescent="0.25">
      <c r="A66" s="1"/>
      <c r="B66" s="134"/>
      <c r="C66" s="117"/>
      <c r="D66" s="375"/>
      <c r="E66" s="375"/>
      <c r="F66" s="119"/>
      <c r="G66" s="119"/>
      <c r="H66" s="119"/>
      <c r="I66" s="126"/>
      <c r="J66" s="375"/>
      <c r="K66" s="119"/>
      <c r="L66" s="119"/>
      <c r="M66" s="119"/>
      <c r="N66" s="119"/>
      <c r="O66" s="126"/>
      <c r="P66" s="375"/>
      <c r="Q66" s="126"/>
      <c r="R66" s="126"/>
      <c r="S66" s="126"/>
      <c r="T66" s="126"/>
      <c r="U66" s="126"/>
      <c r="V66" s="130"/>
    </row>
    <row r="67" spans="1:30" x14ac:dyDescent="0.25">
      <c r="A67" s="1"/>
      <c r="B67" s="134"/>
      <c r="C67" s="3"/>
      <c r="D67" s="3"/>
      <c r="E67" s="3"/>
      <c r="F67" s="118"/>
      <c r="G67" s="119"/>
      <c r="H67" s="119"/>
      <c r="I67" s="126"/>
      <c r="J67" s="375"/>
      <c r="K67" s="375"/>
      <c r="L67" s="3"/>
      <c r="M67" s="376"/>
      <c r="N67" s="3"/>
      <c r="O67" s="3"/>
      <c r="P67" s="3"/>
      <c r="Q67" s="118"/>
      <c r="R67" s="3"/>
      <c r="S67" s="3"/>
      <c r="T67" s="3"/>
      <c r="U67" s="703" t="s">
        <v>131</v>
      </c>
      <c r="V67" s="703"/>
      <c r="W67" s="703"/>
      <c r="X67" s="703"/>
      <c r="Y67" s="377" t="s">
        <v>132</v>
      </c>
      <c r="Z67" s="3"/>
      <c r="AA67" s="378" t="s">
        <v>133</v>
      </c>
      <c r="AB67" s="379"/>
      <c r="AC67" s="3"/>
      <c r="AD67" s="4"/>
    </row>
    <row r="68" spans="1:30" x14ac:dyDescent="0.25">
      <c r="A68" s="1"/>
      <c r="B68" s="134"/>
      <c r="C68" s="3"/>
      <c r="D68" s="3"/>
      <c r="E68" s="3"/>
      <c r="F68" s="119"/>
      <c r="G68" s="119"/>
      <c r="H68" s="119"/>
      <c r="I68" s="126"/>
      <c r="J68" s="375"/>
      <c r="K68" s="375"/>
      <c r="L68" s="3"/>
      <c r="M68" s="376"/>
      <c r="N68" s="3"/>
      <c r="O68" s="3"/>
      <c r="P68" s="3"/>
      <c r="Q68" s="119"/>
      <c r="R68" s="3"/>
      <c r="S68" s="3"/>
      <c r="T68" s="3"/>
      <c r="U68" s="698" t="s">
        <v>134</v>
      </c>
      <c r="V68" s="698"/>
      <c r="W68" s="698"/>
      <c r="X68" s="698"/>
      <c r="Y68" s="380">
        <f>705+86.88+5524.26</f>
        <v>6316.14</v>
      </c>
      <c r="Z68" s="3"/>
      <c r="AA68" s="381" t="s">
        <v>135</v>
      </c>
      <c r="AB68" s="382">
        <v>281.39999999999998</v>
      </c>
      <c r="AC68" s="3"/>
      <c r="AD68" s="4"/>
    </row>
    <row r="69" spans="1:30" x14ac:dyDescent="0.25">
      <c r="A69" s="1"/>
      <c r="B69" s="134"/>
      <c r="C69" s="3"/>
      <c r="D69" s="3"/>
      <c r="E69" s="3"/>
      <c r="F69" s="119"/>
      <c r="G69" s="119"/>
      <c r="H69" s="119"/>
      <c r="I69" s="126"/>
      <c r="J69" s="375"/>
      <c r="K69" s="375"/>
      <c r="L69" s="3"/>
      <c r="M69" s="376"/>
      <c r="N69" s="3"/>
      <c r="O69" s="3"/>
      <c r="P69" s="3"/>
      <c r="Q69" s="119"/>
      <c r="R69" s="3"/>
      <c r="S69" s="3"/>
      <c r="T69" s="3"/>
      <c r="U69" s="698" t="s">
        <v>136</v>
      </c>
      <c r="V69" s="698"/>
      <c r="W69" s="698"/>
      <c r="X69" s="698"/>
      <c r="Y69" s="380">
        <v>2350.7559999999999</v>
      </c>
      <c r="Z69" s="3"/>
      <c r="AA69" s="381" t="s">
        <v>137</v>
      </c>
      <c r="AB69" s="382">
        <v>79.319999999999993</v>
      </c>
      <c r="AC69" s="3"/>
      <c r="AD69" s="4"/>
    </row>
    <row r="70" spans="1:30" x14ac:dyDescent="0.25">
      <c r="A70" s="1"/>
      <c r="B70" s="134"/>
      <c r="C70" s="3"/>
      <c r="D70" s="3"/>
      <c r="E70" s="3"/>
      <c r="F70" s="119"/>
      <c r="G70" s="119"/>
      <c r="H70" s="119"/>
      <c r="I70" s="126"/>
      <c r="J70" s="375"/>
      <c r="K70" s="375"/>
      <c r="L70" s="3"/>
      <c r="M70" s="376"/>
      <c r="N70" s="3"/>
      <c r="O70" s="3"/>
      <c r="P70" s="3"/>
      <c r="Q70" s="119"/>
      <c r="R70" s="3"/>
      <c r="S70" s="3"/>
      <c r="T70" s="3"/>
      <c r="U70" s="698" t="s">
        <v>230</v>
      </c>
      <c r="V70" s="698"/>
      <c r="W70" s="698"/>
      <c r="X70" s="698"/>
      <c r="Y70" s="380">
        <v>52.8</v>
      </c>
      <c r="Z70" s="3"/>
      <c r="AA70" s="381" t="s">
        <v>139</v>
      </c>
      <c r="AB70" s="382">
        <v>705</v>
      </c>
      <c r="AC70" s="3"/>
      <c r="AD70" s="4"/>
    </row>
    <row r="71" spans="1:30" x14ac:dyDescent="0.25">
      <c r="A71" s="3"/>
      <c r="B71" s="3"/>
      <c r="C71" s="3"/>
      <c r="D71" s="3"/>
      <c r="E71" s="3"/>
      <c r="F71" s="120"/>
      <c r="G71" s="3"/>
      <c r="H71" s="3"/>
      <c r="I71" s="3"/>
      <c r="J71" s="120"/>
      <c r="K71" s="120"/>
      <c r="L71" s="3"/>
      <c r="M71" s="376"/>
      <c r="N71" s="3"/>
      <c r="O71" s="3"/>
      <c r="P71" s="3"/>
      <c r="Q71" s="3"/>
      <c r="R71" s="3"/>
      <c r="S71" s="3"/>
      <c r="T71" s="3"/>
      <c r="U71" s="698" t="s">
        <v>140</v>
      </c>
      <c r="V71" s="698"/>
      <c r="W71" s="698"/>
      <c r="X71" s="698"/>
      <c r="Y71" s="380">
        <v>63.689</v>
      </c>
      <c r="Z71" s="3"/>
      <c r="AA71" s="3"/>
      <c r="AB71" s="3"/>
      <c r="AC71" s="3"/>
      <c r="AD71" s="4"/>
    </row>
    <row r="72" spans="1:30" x14ac:dyDescent="0.25">
      <c r="A72" s="1"/>
      <c r="B72" s="134"/>
      <c r="C72" s="3"/>
      <c r="D72" s="3"/>
      <c r="E72" s="3"/>
      <c r="F72" s="119"/>
      <c r="G72" s="119"/>
      <c r="H72" s="119"/>
      <c r="I72" s="126"/>
      <c r="J72" s="136"/>
      <c r="K72" s="136"/>
      <c r="L72" s="3"/>
      <c r="M72" s="376"/>
      <c r="N72" s="3"/>
      <c r="O72" s="3"/>
      <c r="P72" s="3"/>
      <c r="Q72" s="119"/>
      <c r="R72" s="3"/>
      <c r="S72" s="3"/>
      <c r="T72" s="3"/>
      <c r="U72" s="698" t="s">
        <v>141</v>
      </c>
      <c r="V72" s="698"/>
      <c r="W72" s="698"/>
      <c r="X72" s="698"/>
      <c r="Y72" s="380">
        <f>SUM(Y73:Y76)</f>
        <v>1002.354</v>
      </c>
      <c r="Z72" s="3"/>
      <c r="AA72" s="3"/>
      <c r="AB72" s="3"/>
      <c r="AC72" s="3"/>
      <c r="AD72" s="4"/>
    </row>
    <row r="73" spans="1:30" x14ac:dyDescent="0.25">
      <c r="A73" s="1"/>
      <c r="B73" s="134"/>
      <c r="C73" s="3"/>
      <c r="D73" s="3"/>
      <c r="E73" s="3"/>
      <c r="F73" s="119"/>
      <c r="G73" s="119"/>
      <c r="H73" s="119"/>
      <c r="I73" s="126"/>
      <c r="J73" s="375"/>
      <c r="K73" s="375"/>
      <c r="L73" s="3"/>
      <c r="M73" s="376"/>
      <c r="N73" s="3"/>
      <c r="O73" s="3"/>
      <c r="P73" s="3"/>
      <c r="Q73" s="119"/>
      <c r="R73" s="3"/>
      <c r="S73" s="3"/>
      <c r="T73" s="3"/>
      <c r="U73" s="697" t="s">
        <v>142</v>
      </c>
      <c r="V73" s="697"/>
      <c r="W73" s="697"/>
      <c r="X73" s="697"/>
      <c r="Y73" s="380">
        <v>400</v>
      </c>
      <c r="Z73" s="3"/>
      <c r="AA73" s="3"/>
      <c r="AB73" s="3"/>
      <c r="AC73" s="3"/>
      <c r="AD73" s="4"/>
    </row>
    <row r="74" spans="1:30" x14ac:dyDescent="0.25">
      <c r="A74" s="1"/>
      <c r="B74" s="134"/>
      <c r="C74" s="3"/>
      <c r="D74" s="3"/>
      <c r="E74" s="3"/>
      <c r="F74" s="119"/>
      <c r="G74" s="119"/>
      <c r="H74" s="119"/>
      <c r="I74" s="126"/>
      <c r="J74" s="375"/>
      <c r="K74" s="375"/>
      <c r="L74" s="3"/>
      <c r="M74" s="376"/>
      <c r="N74" s="3"/>
      <c r="O74" s="3"/>
      <c r="P74" s="3"/>
      <c r="Q74" s="119"/>
      <c r="R74" s="3"/>
      <c r="S74" s="3"/>
      <c r="T74" s="3"/>
      <c r="U74" s="697" t="s">
        <v>143</v>
      </c>
      <c r="V74" s="697"/>
      <c r="W74" s="697"/>
      <c r="X74" s="697"/>
      <c r="Y74" s="380">
        <v>150</v>
      </c>
      <c r="Z74" s="3"/>
      <c r="AA74" s="3"/>
      <c r="AB74" s="3"/>
      <c r="AC74" s="3"/>
      <c r="AD74" s="4"/>
    </row>
    <row r="75" spans="1:30" x14ac:dyDescent="0.25">
      <c r="A75" s="1"/>
      <c r="B75" s="134"/>
      <c r="C75" s="3"/>
      <c r="D75" s="3"/>
      <c r="E75" s="3"/>
      <c r="F75" s="119"/>
      <c r="G75" s="119"/>
      <c r="H75" s="119"/>
      <c r="I75" s="126"/>
      <c r="J75" s="375"/>
      <c r="K75" s="375"/>
      <c r="L75" s="3"/>
      <c r="M75" s="376"/>
      <c r="N75" s="3"/>
      <c r="O75" s="3"/>
      <c r="P75" s="3"/>
      <c r="Q75" s="119"/>
      <c r="R75" s="3"/>
      <c r="S75" s="3"/>
      <c r="T75" s="3"/>
      <c r="U75" s="697" t="s">
        <v>144</v>
      </c>
      <c r="V75" s="697"/>
      <c r="W75" s="697"/>
      <c r="X75" s="697"/>
      <c r="Y75" s="380">
        <v>100</v>
      </c>
      <c r="Z75" s="3"/>
      <c r="AA75" s="3"/>
      <c r="AB75" s="3"/>
      <c r="AC75" s="3"/>
      <c r="AD75" s="4"/>
    </row>
    <row r="76" spans="1:30" x14ac:dyDescent="0.25">
      <c r="A76" s="1"/>
      <c r="B76" s="134"/>
      <c r="C76" s="3"/>
      <c r="D76" s="3"/>
      <c r="E76" s="3"/>
      <c r="F76" s="119"/>
      <c r="G76" s="119"/>
      <c r="H76" s="119"/>
      <c r="I76" s="126"/>
      <c r="J76" s="375"/>
      <c r="K76" s="375"/>
      <c r="L76" s="3"/>
      <c r="M76" s="376"/>
      <c r="N76" s="3"/>
      <c r="O76" s="3"/>
      <c r="P76" s="3"/>
      <c r="Q76" s="119"/>
      <c r="R76" s="3"/>
      <c r="S76" s="3"/>
      <c r="T76" s="3"/>
      <c r="U76" s="697" t="s">
        <v>145</v>
      </c>
      <c r="V76" s="697"/>
      <c r="W76" s="697"/>
      <c r="X76" s="697"/>
      <c r="Y76" s="380">
        <v>352.35399999999998</v>
      </c>
      <c r="Z76" s="3"/>
      <c r="AA76" s="3"/>
      <c r="AB76" s="3"/>
      <c r="AC76" s="3"/>
      <c r="AD76" s="4"/>
    </row>
    <row r="77" spans="1:30" x14ac:dyDescent="0.25">
      <c r="A77" s="1"/>
      <c r="B77" s="134"/>
      <c r="C77" s="383"/>
      <c r="D77" s="119"/>
      <c r="E77" s="119"/>
      <c r="F77" s="119"/>
      <c r="G77" s="119"/>
      <c r="H77" s="119"/>
      <c r="I77" s="126"/>
      <c r="J77" s="119"/>
      <c r="K77" s="119"/>
      <c r="L77" s="3"/>
      <c r="M77" s="376"/>
      <c r="N77" s="3"/>
      <c r="O77" s="3"/>
      <c r="P77" s="3"/>
      <c r="Q77" s="384"/>
      <c r="R77" s="3"/>
      <c r="S77" s="3"/>
      <c r="T77" s="3"/>
      <c r="U77" s="126"/>
      <c r="V77" s="126"/>
      <c r="W77" s="126"/>
      <c r="X77" s="119"/>
      <c r="Y77" s="118">
        <f>SUM(Y68:Y72)</f>
        <v>9785.7389999999996</v>
      </c>
      <c r="Z77" s="3"/>
      <c r="AA77" s="3"/>
      <c r="AB77" s="3"/>
      <c r="AC77" s="3"/>
      <c r="AD77" s="4"/>
    </row>
    <row r="78" spans="1:30" x14ac:dyDescent="0.25">
      <c r="A78" s="1"/>
      <c r="B78" s="134"/>
      <c r="C78" s="117"/>
      <c r="D78" s="119"/>
      <c r="E78" s="119"/>
      <c r="F78" s="119"/>
      <c r="G78" s="119"/>
      <c r="H78" s="119"/>
      <c r="I78" s="126"/>
      <c r="J78" s="119"/>
      <c r="K78" s="119"/>
      <c r="L78" s="119"/>
      <c r="M78" s="119"/>
      <c r="N78" s="119"/>
      <c r="O78" s="126"/>
      <c r="P78" s="119"/>
      <c r="Q78" s="119"/>
      <c r="R78" s="119"/>
      <c r="S78" s="126"/>
      <c r="T78" s="126"/>
      <c r="U78" s="126"/>
      <c r="V78" s="119"/>
      <c r="W78" s="119"/>
      <c r="X78" s="119"/>
      <c r="Y78" s="3"/>
      <c r="Z78" s="3"/>
      <c r="AA78" s="3"/>
      <c r="AB78" s="3"/>
      <c r="AC78" s="3"/>
      <c r="AD78" s="3"/>
    </row>
    <row r="79" spans="1:30" x14ac:dyDescent="0.25">
      <c r="A79" s="1"/>
      <c r="B79" s="144" t="s">
        <v>103</v>
      </c>
      <c r="C79" s="145"/>
      <c r="D79" s="585"/>
      <c r="E79" s="585"/>
      <c r="F79" s="585"/>
      <c r="G79" s="585"/>
      <c r="H79" s="585"/>
      <c r="I79" s="585"/>
      <c r="J79" s="585"/>
      <c r="K79" s="585"/>
      <c r="L79" s="585"/>
      <c r="M79" s="585"/>
      <c r="N79" s="585"/>
      <c r="O79" s="585"/>
      <c r="P79" s="585"/>
      <c r="Q79" s="585"/>
      <c r="R79" s="585"/>
      <c r="S79" s="585"/>
      <c r="T79" s="585"/>
      <c r="U79" s="585"/>
      <c r="V79" s="146"/>
      <c r="W79" s="146"/>
      <c r="X79" s="146"/>
      <c r="Y79" s="146"/>
      <c r="Z79" s="146"/>
      <c r="AA79" s="146"/>
      <c r="AB79" s="147"/>
      <c r="AC79" s="3"/>
      <c r="AD79" s="3"/>
    </row>
    <row r="80" spans="1:30" x14ac:dyDescent="0.25">
      <c r="A80" s="1"/>
      <c r="B80" s="148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49"/>
      <c r="AC80" s="3"/>
      <c r="AD80" s="3"/>
    </row>
    <row r="81" spans="1:30" x14ac:dyDescent="0.25">
      <c r="A81" s="1"/>
      <c r="B81" s="575" t="s">
        <v>326</v>
      </c>
      <c r="C81" s="576"/>
      <c r="D81" s="576"/>
      <c r="E81" s="576"/>
      <c r="F81" s="576"/>
      <c r="G81" s="576"/>
      <c r="H81" s="576"/>
      <c r="I81" s="576"/>
      <c r="J81" s="576"/>
      <c r="K81" s="576"/>
      <c r="L81" s="576"/>
      <c r="M81" s="576"/>
      <c r="N81" s="576"/>
      <c r="O81" s="576"/>
      <c r="P81" s="576"/>
      <c r="Q81" s="576"/>
      <c r="R81" s="576"/>
      <c r="S81" s="576"/>
      <c r="T81" s="576"/>
      <c r="U81" s="576"/>
      <c r="V81" s="121"/>
      <c r="W81" s="121"/>
      <c r="X81" s="121"/>
      <c r="Y81" s="121"/>
      <c r="Z81" s="121"/>
      <c r="AA81" s="121"/>
      <c r="AB81" s="149"/>
      <c r="AC81" s="3"/>
      <c r="AD81" s="3"/>
    </row>
    <row r="82" spans="1:30" hidden="1" x14ac:dyDescent="0.25">
      <c r="A82" s="1"/>
      <c r="B82" s="575"/>
      <c r="C82" s="576"/>
      <c r="D82" s="576"/>
      <c r="E82" s="576"/>
      <c r="F82" s="576"/>
      <c r="G82" s="576"/>
      <c r="H82" s="576"/>
      <c r="I82" s="576"/>
      <c r="J82" s="576"/>
      <c r="K82" s="576"/>
      <c r="L82" s="576"/>
      <c r="M82" s="576"/>
      <c r="N82" s="576"/>
      <c r="O82" s="576"/>
      <c r="P82" s="576"/>
      <c r="Q82" s="576"/>
      <c r="R82" s="576"/>
      <c r="S82" s="576"/>
      <c r="T82" s="576"/>
      <c r="U82" s="576"/>
      <c r="V82" s="121"/>
      <c r="W82" s="121"/>
      <c r="X82" s="121"/>
      <c r="Y82" s="121"/>
      <c r="Z82" s="121"/>
      <c r="AA82" s="121"/>
      <c r="AB82" s="149"/>
      <c r="AC82" s="3"/>
      <c r="AD82" s="3"/>
    </row>
    <row r="83" spans="1:30" hidden="1" x14ac:dyDescent="0.25">
      <c r="A83" s="1"/>
      <c r="B83" s="575"/>
      <c r="C83" s="576"/>
      <c r="D83" s="576"/>
      <c r="E83" s="576"/>
      <c r="F83" s="576"/>
      <c r="G83" s="576"/>
      <c r="H83" s="576"/>
      <c r="I83" s="576"/>
      <c r="J83" s="576"/>
      <c r="K83" s="576"/>
      <c r="L83" s="576"/>
      <c r="M83" s="576"/>
      <c r="N83" s="576"/>
      <c r="O83" s="576"/>
      <c r="P83" s="576"/>
      <c r="Q83" s="576"/>
      <c r="R83" s="576"/>
      <c r="S83" s="576"/>
      <c r="T83" s="576"/>
      <c r="U83" s="576"/>
      <c r="V83" s="121"/>
      <c r="W83" s="121"/>
      <c r="X83" s="121"/>
      <c r="Y83" s="121"/>
      <c r="Z83" s="121"/>
      <c r="AA83" s="121"/>
      <c r="AB83" s="149"/>
      <c r="AC83" s="3"/>
      <c r="AD83" s="3"/>
    </row>
    <row r="84" spans="1:30" hidden="1" x14ac:dyDescent="0.25">
      <c r="A84" s="1"/>
      <c r="B84" s="150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21"/>
      <c r="W84" s="121"/>
      <c r="X84" s="121"/>
      <c r="Y84" s="121"/>
      <c r="Z84" s="121"/>
      <c r="AA84" s="121"/>
      <c r="AB84" s="149"/>
      <c r="AC84" s="3"/>
      <c r="AD84" s="3"/>
    </row>
    <row r="85" spans="1:30" hidden="1" x14ac:dyDescent="0.25">
      <c r="A85" s="1"/>
      <c r="B85" s="150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21"/>
      <c r="W85" s="121"/>
      <c r="X85" s="121"/>
      <c r="Y85" s="121"/>
      <c r="Z85" s="121"/>
      <c r="AA85" s="121"/>
      <c r="AB85" s="149"/>
      <c r="AC85" s="3"/>
      <c r="AD85" s="3"/>
    </row>
    <row r="86" spans="1:30" x14ac:dyDescent="0.25">
      <c r="A86" s="1"/>
      <c r="B86" s="150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21"/>
      <c r="W86" s="121"/>
      <c r="X86" s="121"/>
      <c r="Y86" s="121"/>
      <c r="Z86" s="121"/>
      <c r="AA86" s="121"/>
      <c r="AB86" s="149"/>
      <c r="AC86" s="3"/>
      <c r="AD86" s="3"/>
    </row>
    <row r="87" spans="1:30" hidden="1" x14ac:dyDescent="0.25">
      <c r="A87" s="1"/>
      <c r="B87" s="150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21"/>
      <c r="W87" s="121"/>
      <c r="X87" s="121"/>
      <c r="Y87" s="121"/>
      <c r="Z87" s="121"/>
      <c r="AA87" s="121"/>
      <c r="AB87" s="149"/>
      <c r="AC87" s="3"/>
      <c r="AD87" s="3"/>
    </row>
    <row r="88" spans="1:30" hidden="1" x14ac:dyDescent="0.25">
      <c r="A88" s="1"/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21"/>
      <c r="W88" s="121"/>
      <c r="X88" s="121"/>
      <c r="Y88" s="121"/>
      <c r="Z88" s="121"/>
      <c r="AA88" s="121"/>
      <c r="AB88" s="149"/>
      <c r="AC88" s="3"/>
      <c r="AD88" s="3"/>
    </row>
    <row r="89" spans="1:30" hidden="1" x14ac:dyDescent="0.25">
      <c r="A89" s="1"/>
      <c r="B89" s="150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21"/>
      <c r="W89" s="121"/>
      <c r="X89" s="121"/>
      <c r="Y89" s="121"/>
      <c r="Z89" s="121"/>
      <c r="AA89" s="121"/>
      <c r="AB89" s="149"/>
      <c r="AC89" s="3"/>
      <c r="AD89" s="3"/>
    </row>
    <row r="90" spans="1:30" hidden="1" x14ac:dyDescent="0.25">
      <c r="A90" s="1"/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21"/>
      <c r="W90" s="121"/>
      <c r="X90" s="121"/>
      <c r="Y90" s="121"/>
      <c r="Z90" s="121"/>
      <c r="AA90" s="121"/>
      <c r="AB90" s="149"/>
      <c r="AC90" s="3"/>
      <c r="AD90" s="3"/>
    </row>
    <row r="91" spans="1:30" hidden="1" x14ac:dyDescent="0.25">
      <c r="A91" s="1"/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21"/>
      <c r="W91" s="121"/>
      <c r="X91" s="121"/>
      <c r="Y91" s="121"/>
      <c r="Z91" s="121"/>
      <c r="AA91" s="121"/>
      <c r="AB91" s="149"/>
      <c r="AC91" s="3"/>
      <c r="AD91" s="3"/>
    </row>
    <row r="92" spans="1:30" hidden="1" x14ac:dyDescent="0.25">
      <c r="A92" s="1"/>
      <c r="B92" s="150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21"/>
      <c r="W92" s="121"/>
      <c r="X92" s="121"/>
      <c r="Y92" s="121"/>
      <c r="Z92" s="121"/>
      <c r="AA92" s="121"/>
      <c r="AB92" s="149"/>
      <c r="AC92" s="3"/>
      <c r="AD92" s="3"/>
    </row>
    <row r="93" spans="1:30" hidden="1" x14ac:dyDescent="0.25">
      <c r="A93" s="1"/>
      <c r="B93" s="150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21"/>
      <c r="W93" s="121"/>
      <c r="X93" s="121"/>
      <c r="Y93" s="121"/>
      <c r="Z93" s="121"/>
      <c r="AA93" s="121"/>
      <c r="AB93" s="149"/>
      <c r="AC93" s="3"/>
      <c r="AD93" s="3"/>
    </row>
    <row r="94" spans="1:30" hidden="1" x14ac:dyDescent="0.25">
      <c r="A94" s="1"/>
      <c r="B94" s="150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21"/>
      <c r="W94" s="121"/>
      <c r="X94" s="121"/>
      <c r="Y94" s="121"/>
      <c r="Z94" s="121"/>
      <c r="AA94" s="121"/>
      <c r="AB94" s="149"/>
      <c r="AC94" s="3"/>
      <c r="AD94" s="3"/>
    </row>
    <row r="95" spans="1:30" hidden="1" x14ac:dyDescent="0.25">
      <c r="A95" s="1"/>
      <c r="B95" s="150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21"/>
      <c r="W95" s="121"/>
      <c r="X95" s="121"/>
      <c r="Y95" s="121"/>
      <c r="Z95" s="121"/>
      <c r="AA95" s="121"/>
      <c r="AB95" s="149"/>
      <c r="AC95" s="3"/>
      <c r="AD95" s="3"/>
    </row>
    <row r="96" spans="1:30" hidden="1" x14ac:dyDescent="0.25">
      <c r="A96" s="1"/>
      <c r="B96" s="158"/>
      <c r="C96" s="159"/>
      <c r="D96" s="160"/>
      <c r="E96" s="160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2"/>
      <c r="W96" s="162"/>
      <c r="X96" s="162"/>
      <c r="Y96" s="162"/>
      <c r="Z96" s="162"/>
      <c r="AA96" s="162"/>
      <c r="AB96" s="163"/>
      <c r="AC96" s="3"/>
      <c r="AD96" s="3"/>
    </row>
    <row r="97" spans="1:30" x14ac:dyDescent="0.25">
      <c r="A97" s="115"/>
      <c r="B97" s="164"/>
      <c r="C97" s="165"/>
      <c r="D97" s="164"/>
      <c r="E97" s="164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115"/>
      <c r="B98" s="164"/>
      <c r="C98" s="165"/>
      <c r="D98" s="164"/>
      <c r="E98" s="164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1"/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1"/>
      <c r="B100" s="167" t="s">
        <v>104</v>
      </c>
      <c r="C100" s="168">
        <v>45922</v>
      </c>
      <c r="D100" s="167" t="s">
        <v>105</v>
      </c>
      <c r="E100" s="576" t="s">
        <v>327</v>
      </c>
      <c r="F100" s="576"/>
      <c r="G100" s="576"/>
      <c r="H100" s="167"/>
      <c r="I100" s="167" t="s">
        <v>107</v>
      </c>
      <c r="J100" s="577" t="s">
        <v>328</v>
      </c>
      <c r="K100" s="577"/>
      <c r="L100" s="577"/>
      <c r="M100" s="577"/>
      <c r="N100" s="167"/>
      <c r="O100" s="167"/>
      <c r="P100" s="167"/>
      <c r="Q100" s="167"/>
      <c r="R100" s="167"/>
      <c r="S100" s="167"/>
      <c r="T100" s="167"/>
      <c r="U100" s="167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7.5" customHeight="1" x14ac:dyDescent="0.25">
      <c r="A101" s="1"/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x14ac:dyDescent="0.25">
      <c r="A102" s="1"/>
      <c r="B102" s="167"/>
      <c r="C102" s="167"/>
      <c r="D102" s="167" t="s">
        <v>109</v>
      </c>
      <c r="E102" s="167"/>
      <c r="F102" s="167"/>
      <c r="G102" s="167"/>
      <c r="H102" s="167"/>
      <c r="I102" s="167" t="s">
        <v>109</v>
      </c>
      <c r="J102" s="170"/>
      <c r="K102" s="170"/>
      <c r="L102" s="170"/>
      <c r="M102" s="170"/>
      <c r="N102" s="167"/>
      <c r="O102" s="167"/>
      <c r="P102" s="167"/>
      <c r="Q102" s="167"/>
      <c r="R102" s="167"/>
      <c r="S102" s="167"/>
      <c r="T102" s="167"/>
      <c r="U102" s="167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x14ac:dyDescent="0.25">
      <c r="A103" s="1"/>
      <c r="B103" s="167"/>
      <c r="C103" s="167"/>
      <c r="D103" s="167"/>
      <c r="E103" s="167"/>
      <c r="F103" s="167"/>
      <c r="G103" s="167"/>
      <c r="H103" s="167"/>
      <c r="I103" s="167"/>
      <c r="J103" s="170"/>
      <c r="K103" s="170"/>
      <c r="L103" s="170"/>
      <c r="M103" s="170"/>
      <c r="N103" s="167"/>
      <c r="O103" s="167"/>
      <c r="P103" s="167"/>
      <c r="Q103" s="167"/>
      <c r="R103" s="167"/>
      <c r="S103" s="167"/>
      <c r="T103" s="167"/>
      <c r="U103" s="167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x14ac:dyDescent="0.25">
      <c r="A104" s="1"/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idden="1" x14ac:dyDescent="0.25">
      <c r="A105" s="1"/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idden="1" x14ac:dyDescent="0.25">
      <c r="AC106" s="4"/>
      <c r="AD106" s="4"/>
    </row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t="15" hidden="1" customHeight="1" x14ac:dyDescent="0.25"/>
    <row r="137" ht="15" hidden="1" customHeight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</sheetData>
  <mergeCells count="82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6:AB28"/>
    <mergeCell ref="J27:L27"/>
    <mergeCell ref="M27:M28"/>
    <mergeCell ref="N27:N28"/>
    <mergeCell ref="O27:O28"/>
    <mergeCell ref="AA13:AA14"/>
    <mergeCell ref="D26:I26"/>
    <mergeCell ref="J26:O26"/>
    <mergeCell ref="P26:U26"/>
    <mergeCell ref="V26:AA26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27:B28"/>
    <mergeCell ref="C27:C28"/>
    <mergeCell ref="D27:F27"/>
    <mergeCell ref="G27:G28"/>
    <mergeCell ref="H27:H28"/>
    <mergeCell ref="V59:X59"/>
    <mergeCell ref="P27:R27"/>
    <mergeCell ref="S27:S28"/>
    <mergeCell ref="T27:T28"/>
    <mergeCell ref="U27:U28"/>
    <mergeCell ref="V27:X27"/>
    <mergeCell ref="Z27:Z28"/>
    <mergeCell ref="AA27:AA28"/>
    <mergeCell ref="C44:C45"/>
    <mergeCell ref="C47:C48"/>
    <mergeCell ref="V58:X58"/>
    <mergeCell ref="Y27:Y28"/>
    <mergeCell ref="I27:I28"/>
    <mergeCell ref="U72:X72"/>
    <mergeCell ref="V60:X60"/>
    <mergeCell ref="D62:E62"/>
    <mergeCell ref="V62:X62"/>
    <mergeCell ref="V63:X63"/>
    <mergeCell ref="V64:X64"/>
    <mergeCell ref="V65:X65"/>
    <mergeCell ref="U67:X67"/>
    <mergeCell ref="U68:X68"/>
    <mergeCell ref="U69:X69"/>
    <mergeCell ref="U70:X70"/>
    <mergeCell ref="U71:X71"/>
    <mergeCell ref="B82:U82"/>
    <mergeCell ref="B83:U83"/>
    <mergeCell ref="E100:G100"/>
    <mergeCell ref="J100:M100"/>
    <mergeCell ref="U73:X73"/>
    <mergeCell ref="U74:X74"/>
    <mergeCell ref="U75:X75"/>
    <mergeCell ref="U76:X76"/>
    <mergeCell ref="D79:U79"/>
    <mergeCell ref="B81:U81"/>
  </mergeCells>
  <conditionalFormatting sqref="AB15:AB26 AB29:AB42">
    <cfRule type="cellIs" dxfId="3" priority="1" operator="equal">
      <formula>0</formula>
    </cfRule>
    <cfRule type="containsErrors" dxfId="2" priority="2">
      <formula>ISERROR(AB15)</formula>
    </cfRule>
  </conditionalFormatting>
  <pageMargins left="0.51181102362204722" right="0.11811023622047245" top="0.39370078740157483" bottom="0.19685039370078741" header="0.31496062992125984" footer="0.31496062992125984"/>
  <pageSetup paperSize="8" scale="4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tabColor rgb="FFFF0000"/>
    <pageSetUpPr fitToPage="1"/>
  </sheetPr>
  <dimension ref="A1:AD300"/>
  <sheetViews>
    <sheetView showGridLines="0" zoomScale="80" zoomScaleNormal="80" zoomScaleSheetLayoutView="80" workbookViewId="0">
      <selection activeCell="AA57" sqref="AA5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327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17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7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7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1</v>
      </c>
      <c r="C4" s="3"/>
      <c r="D4" s="690" t="s">
        <v>329</v>
      </c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7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3</v>
      </c>
      <c r="C6" s="3"/>
      <c r="D6" s="174">
        <v>46789731</v>
      </c>
      <c r="E6" s="3"/>
      <c r="F6" s="3"/>
      <c r="G6" s="3"/>
      <c r="H6" s="3"/>
      <c r="I6" s="3"/>
      <c r="J6" s="3"/>
      <c r="K6" s="3"/>
      <c r="L6" s="3"/>
      <c r="M6" s="17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175"/>
      <c r="E7" s="3"/>
      <c r="F7" s="3"/>
      <c r="G7" s="3"/>
      <c r="H7" s="3"/>
      <c r="I7" s="3"/>
      <c r="J7" s="3"/>
      <c r="K7" s="3"/>
      <c r="L7" s="3"/>
      <c r="M7" s="17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5</v>
      </c>
      <c r="C8" s="3"/>
      <c r="D8" s="691" t="s">
        <v>330</v>
      </c>
      <c r="E8" s="691"/>
      <c r="F8" s="691"/>
      <c r="G8" s="691"/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691"/>
      <c r="T8" s="691"/>
      <c r="U8" s="691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7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692" t="s">
        <v>7</v>
      </c>
      <c r="C10" s="651" t="s">
        <v>8</v>
      </c>
      <c r="D10" s="678" t="s">
        <v>9</v>
      </c>
      <c r="E10" s="679"/>
      <c r="F10" s="679"/>
      <c r="G10" s="679"/>
      <c r="H10" s="679"/>
      <c r="I10" s="680"/>
      <c r="J10" s="678" t="s">
        <v>166</v>
      </c>
      <c r="K10" s="679"/>
      <c r="L10" s="679"/>
      <c r="M10" s="679"/>
      <c r="N10" s="679"/>
      <c r="O10" s="680"/>
      <c r="P10" s="678" t="s">
        <v>11</v>
      </c>
      <c r="Q10" s="679"/>
      <c r="R10" s="679"/>
      <c r="S10" s="679"/>
      <c r="T10" s="679"/>
      <c r="U10" s="680"/>
      <c r="V10" s="678" t="s">
        <v>12</v>
      </c>
      <c r="W10" s="679"/>
      <c r="X10" s="679"/>
      <c r="Y10" s="679"/>
      <c r="Z10" s="679"/>
      <c r="AA10" s="680"/>
      <c r="AB10" s="681" t="s">
        <v>13</v>
      </c>
      <c r="AC10" s="3"/>
      <c r="AD10" s="3"/>
    </row>
    <row r="11" spans="1:30" ht="30.75" customHeight="1" thickBot="1" x14ac:dyDescent="0.3">
      <c r="A11" s="3"/>
      <c r="B11" s="693"/>
      <c r="C11" s="652"/>
      <c r="D11" s="684" t="s">
        <v>14</v>
      </c>
      <c r="E11" s="685"/>
      <c r="F11" s="685"/>
      <c r="G11" s="686"/>
      <c r="H11" s="176" t="s">
        <v>15</v>
      </c>
      <c r="I11" s="176" t="s">
        <v>16</v>
      </c>
      <c r="J11" s="684" t="s">
        <v>14</v>
      </c>
      <c r="K11" s="685"/>
      <c r="L11" s="685"/>
      <c r="M11" s="686"/>
      <c r="N11" s="176" t="s">
        <v>15</v>
      </c>
      <c r="O11" s="176" t="s">
        <v>16</v>
      </c>
      <c r="P11" s="684" t="s">
        <v>14</v>
      </c>
      <c r="Q11" s="685"/>
      <c r="R11" s="685"/>
      <c r="S11" s="686"/>
      <c r="T11" s="176" t="s">
        <v>15</v>
      </c>
      <c r="U11" s="176" t="s">
        <v>16</v>
      </c>
      <c r="V11" s="684" t="s">
        <v>14</v>
      </c>
      <c r="W11" s="685"/>
      <c r="X11" s="685"/>
      <c r="Y11" s="686"/>
      <c r="Z11" s="176" t="s">
        <v>15</v>
      </c>
      <c r="AA11" s="176" t="s">
        <v>16</v>
      </c>
      <c r="AB11" s="682"/>
      <c r="AC11" s="3"/>
      <c r="AD11" s="3"/>
    </row>
    <row r="12" spans="1:30" ht="15.75" customHeight="1" thickBot="1" x14ac:dyDescent="0.3">
      <c r="A12" s="3"/>
      <c r="B12" s="693"/>
      <c r="C12" s="695"/>
      <c r="D12" s="687" t="s">
        <v>17</v>
      </c>
      <c r="E12" s="688"/>
      <c r="F12" s="688"/>
      <c r="G12" s="688"/>
      <c r="H12" s="688"/>
      <c r="I12" s="689"/>
      <c r="J12" s="687" t="s">
        <v>17</v>
      </c>
      <c r="K12" s="688"/>
      <c r="L12" s="688"/>
      <c r="M12" s="688"/>
      <c r="N12" s="688"/>
      <c r="O12" s="689"/>
      <c r="P12" s="687" t="s">
        <v>17</v>
      </c>
      <c r="Q12" s="688"/>
      <c r="R12" s="688"/>
      <c r="S12" s="688"/>
      <c r="T12" s="688"/>
      <c r="U12" s="689"/>
      <c r="V12" s="687" t="s">
        <v>17</v>
      </c>
      <c r="W12" s="688"/>
      <c r="X12" s="688"/>
      <c r="Y12" s="688"/>
      <c r="Z12" s="688"/>
      <c r="AA12" s="689"/>
      <c r="AB12" s="682"/>
      <c r="AC12" s="3"/>
      <c r="AD12" s="3"/>
    </row>
    <row r="13" spans="1:30" ht="15.75" customHeight="1" thickBot="1" x14ac:dyDescent="0.3">
      <c r="A13" s="3"/>
      <c r="B13" s="694"/>
      <c r="C13" s="696"/>
      <c r="D13" s="676" t="s">
        <v>18</v>
      </c>
      <c r="E13" s="677"/>
      <c r="F13" s="677"/>
      <c r="G13" s="647" t="s">
        <v>19</v>
      </c>
      <c r="H13" s="674" t="s">
        <v>20</v>
      </c>
      <c r="I13" s="653" t="s">
        <v>17</v>
      </c>
      <c r="J13" s="676" t="s">
        <v>18</v>
      </c>
      <c r="K13" s="677"/>
      <c r="L13" s="677"/>
      <c r="M13" s="647" t="s">
        <v>19</v>
      </c>
      <c r="N13" s="674" t="s">
        <v>20</v>
      </c>
      <c r="O13" s="653" t="s">
        <v>17</v>
      </c>
      <c r="P13" s="676" t="s">
        <v>18</v>
      </c>
      <c r="Q13" s="677"/>
      <c r="R13" s="677"/>
      <c r="S13" s="647" t="s">
        <v>19</v>
      </c>
      <c r="T13" s="674" t="s">
        <v>20</v>
      </c>
      <c r="U13" s="653" t="s">
        <v>17</v>
      </c>
      <c r="V13" s="676" t="s">
        <v>18</v>
      </c>
      <c r="W13" s="677"/>
      <c r="X13" s="677"/>
      <c r="Y13" s="647" t="s">
        <v>19</v>
      </c>
      <c r="Z13" s="674" t="s">
        <v>20</v>
      </c>
      <c r="AA13" s="653" t="s">
        <v>17</v>
      </c>
      <c r="AB13" s="682"/>
      <c r="AC13" s="3"/>
      <c r="AD13" s="3"/>
    </row>
    <row r="14" spans="1:30" ht="15.75" thickBot="1" x14ac:dyDescent="0.3">
      <c r="A14" s="3"/>
      <c r="B14" s="177"/>
      <c r="C14" s="178"/>
      <c r="D14" s="179" t="s">
        <v>21</v>
      </c>
      <c r="E14" s="180" t="s">
        <v>22</v>
      </c>
      <c r="F14" s="180" t="s">
        <v>23</v>
      </c>
      <c r="G14" s="648"/>
      <c r="H14" s="675"/>
      <c r="I14" s="654"/>
      <c r="J14" s="179" t="s">
        <v>21</v>
      </c>
      <c r="K14" s="180" t="s">
        <v>22</v>
      </c>
      <c r="L14" s="180" t="s">
        <v>23</v>
      </c>
      <c r="M14" s="648"/>
      <c r="N14" s="675"/>
      <c r="O14" s="654"/>
      <c r="P14" s="179" t="s">
        <v>21</v>
      </c>
      <c r="Q14" s="180" t="s">
        <v>22</v>
      </c>
      <c r="R14" s="180" t="s">
        <v>23</v>
      </c>
      <c r="S14" s="648"/>
      <c r="T14" s="675"/>
      <c r="U14" s="654"/>
      <c r="V14" s="179" t="s">
        <v>21</v>
      </c>
      <c r="W14" s="180" t="s">
        <v>22</v>
      </c>
      <c r="X14" s="180" t="s">
        <v>23</v>
      </c>
      <c r="Y14" s="648"/>
      <c r="Z14" s="675"/>
      <c r="AA14" s="654"/>
      <c r="AB14" s="683"/>
      <c r="AC14" s="3"/>
      <c r="AD14" s="3"/>
    </row>
    <row r="15" spans="1:30" x14ac:dyDescent="0.25">
      <c r="A15" s="3"/>
      <c r="B15" s="181" t="s">
        <v>24</v>
      </c>
      <c r="C15" s="182" t="s">
        <v>25</v>
      </c>
      <c r="D15" s="183"/>
      <c r="E15" s="184"/>
      <c r="F15" s="185">
        <v>1889.152</v>
      </c>
      <c r="G15" s="186">
        <f>SUM(D15:F15)</f>
        <v>1889.152</v>
      </c>
      <c r="H15" s="187"/>
      <c r="I15" s="188">
        <f>G15+H15</f>
        <v>1889.152</v>
      </c>
      <c r="J15" s="183"/>
      <c r="K15" s="184"/>
      <c r="L15" s="185">
        <v>2700</v>
      </c>
      <c r="M15" s="388">
        <f t="shared" ref="M15:M24" si="0">SUM(J15:L15)</f>
        <v>2700</v>
      </c>
      <c r="N15" s="187"/>
      <c r="O15" s="189">
        <f>M15+N15</f>
        <v>2700</v>
      </c>
      <c r="P15" s="183"/>
      <c r="Q15" s="184"/>
      <c r="R15" s="185">
        <v>1066.7429999999999</v>
      </c>
      <c r="S15" s="186">
        <f>SUM(P15:R15)</f>
        <v>1066.7429999999999</v>
      </c>
      <c r="T15" s="187"/>
      <c r="U15" s="188">
        <f>S15+T15</f>
        <v>1066.7429999999999</v>
      </c>
      <c r="V15" s="183"/>
      <c r="W15" s="184"/>
      <c r="X15" s="185">
        <v>2880</v>
      </c>
      <c r="Y15" s="186">
        <f>SUM(V15:X15)</f>
        <v>2880</v>
      </c>
      <c r="Z15" s="187"/>
      <c r="AA15" s="188">
        <f>Y15+Z15</f>
        <v>2880</v>
      </c>
      <c r="AB15" s="190">
        <f>(AA15/O15)</f>
        <v>1.0666666666666667</v>
      </c>
      <c r="AC15" s="3"/>
      <c r="AD15" s="3"/>
    </row>
    <row r="16" spans="1:30" x14ac:dyDescent="0.25">
      <c r="A16" s="3"/>
      <c r="B16" s="191" t="s">
        <v>26</v>
      </c>
      <c r="C16" s="192" t="s">
        <v>123</v>
      </c>
      <c r="D16" s="193">
        <v>7780</v>
      </c>
      <c r="E16" s="194"/>
      <c r="F16" s="194"/>
      <c r="G16" s="195">
        <f t="shared" ref="G16:G24" si="1">SUM(D16:F16)</f>
        <v>7780</v>
      </c>
      <c r="H16" s="196"/>
      <c r="I16" s="188">
        <f t="shared" ref="I16:I24" si="2">G16+H16</f>
        <v>7780</v>
      </c>
      <c r="J16" s="193">
        <v>8400</v>
      </c>
      <c r="K16" s="194"/>
      <c r="L16" s="194"/>
      <c r="M16" s="392">
        <f t="shared" si="0"/>
        <v>8400</v>
      </c>
      <c r="N16" s="196"/>
      <c r="O16" s="189">
        <f t="shared" ref="O16:O21" si="3">M16+N16</f>
        <v>8400</v>
      </c>
      <c r="P16" s="193">
        <v>4282</v>
      </c>
      <c r="Q16" s="194"/>
      <c r="R16" s="194"/>
      <c r="S16" s="195">
        <f t="shared" ref="S16:S24" si="4">SUM(P16:R16)</f>
        <v>4282</v>
      </c>
      <c r="T16" s="196"/>
      <c r="U16" s="188">
        <f t="shared" ref="U16:U21" si="5">S16+T16</f>
        <v>4282</v>
      </c>
      <c r="V16" s="193">
        <v>9100</v>
      </c>
      <c r="W16" s="194"/>
      <c r="X16" s="194"/>
      <c r="Y16" s="195">
        <f t="shared" ref="Y16:Y24" si="6">SUM(V16:X16)</f>
        <v>9100</v>
      </c>
      <c r="Z16" s="196"/>
      <c r="AA16" s="188">
        <f t="shared" ref="AA16:AA21" si="7">Y16+Z16</f>
        <v>9100</v>
      </c>
      <c r="AB16" s="190">
        <f t="shared" ref="AB16:AB25" si="8">(AA16/O16)</f>
        <v>1.0833333333333333</v>
      </c>
      <c r="AC16" s="3"/>
      <c r="AD16" s="3"/>
    </row>
    <row r="17" spans="1:30" x14ac:dyDescent="0.25">
      <c r="A17" s="3"/>
      <c r="B17" s="191" t="s">
        <v>28</v>
      </c>
      <c r="C17" s="197" t="s">
        <v>124</v>
      </c>
      <c r="D17" s="29">
        <v>244.6</v>
      </c>
      <c r="E17" s="198"/>
      <c r="F17" s="198"/>
      <c r="G17" s="195">
        <f t="shared" si="1"/>
        <v>244.6</v>
      </c>
      <c r="H17" s="199"/>
      <c r="I17" s="188">
        <f t="shared" si="2"/>
        <v>244.6</v>
      </c>
      <c r="J17" s="29">
        <v>1578.6</v>
      </c>
      <c r="K17" s="198"/>
      <c r="L17" s="198"/>
      <c r="M17" s="392">
        <f t="shared" si="0"/>
        <v>1578.6</v>
      </c>
      <c r="N17" s="199"/>
      <c r="O17" s="189">
        <f t="shared" si="3"/>
        <v>1578.6</v>
      </c>
      <c r="P17" s="29">
        <v>168.3</v>
      </c>
      <c r="Q17" s="198"/>
      <c r="R17" s="198"/>
      <c r="S17" s="195">
        <f t="shared" si="4"/>
        <v>168.3</v>
      </c>
      <c r="T17" s="199"/>
      <c r="U17" s="188">
        <f t="shared" si="5"/>
        <v>168.3</v>
      </c>
      <c r="V17" s="29"/>
      <c r="W17" s="198"/>
      <c r="X17" s="198"/>
      <c r="Y17" s="195">
        <f t="shared" si="6"/>
        <v>0</v>
      </c>
      <c r="Z17" s="199"/>
      <c r="AA17" s="188">
        <f t="shared" si="7"/>
        <v>0</v>
      </c>
      <c r="AB17" s="190">
        <f t="shared" si="8"/>
        <v>0</v>
      </c>
      <c r="AC17" s="3"/>
      <c r="AD17" s="3"/>
    </row>
    <row r="18" spans="1:30" x14ac:dyDescent="0.25">
      <c r="A18" s="3"/>
      <c r="B18" s="191" t="s">
        <v>125</v>
      </c>
      <c r="C18" s="465" t="s">
        <v>126</v>
      </c>
      <c r="D18" s="29"/>
      <c r="E18" s="198"/>
      <c r="F18" s="198"/>
      <c r="G18" s="195">
        <f t="shared" si="1"/>
        <v>0</v>
      </c>
      <c r="H18" s="196"/>
      <c r="I18" s="188">
        <f t="shared" si="2"/>
        <v>0</v>
      </c>
      <c r="J18" s="201"/>
      <c r="K18" s="37">
        <v>46927.116999999998</v>
      </c>
      <c r="L18" s="198"/>
      <c r="M18" s="392">
        <f t="shared" si="0"/>
        <v>46927.116999999998</v>
      </c>
      <c r="N18" s="187"/>
      <c r="O18" s="189">
        <f t="shared" si="3"/>
        <v>46927.116999999998</v>
      </c>
      <c r="P18" s="29"/>
      <c r="Q18" s="198"/>
      <c r="R18" s="198"/>
      <c r="S18" s="195">
        <f t="shared" si="4"/>
        <v>0</v>
      </c>
      <c r="T18" s="196"/>
      <c r="U18" s="188">
        <f t="shared" si="5"/>
        <v>0</v>
      </c>
      <c r="V18" s="29">
        <v>8043.4440000000004</v>
      </c>
      <c r="W18" s="198"/>
      <c r="X18" s="198"/>
      <c r="Y18" s="195">
        <f t="shared" si="6"/>
        <v>8043.4440000000004</v>
      </c>
      <c r="Z18" s="196"/>
      <c r="AA18" s="188">
        <f t="shared" si="7"/>
        <v>8043.4440000000004</v>
      </c>
      <c r="AB18" s="190"/>
      <c r="AC18" s="3"/>
      <c r="AD18" s="3"/>
    </row>
    <row r="19" spans="1:30" x14ac:dyDescent="0.25">
      <c r="A19" s="3"/>
      <c r="B19" s="191" t="s">
        <v>30</v>
      </c>
      <c r="C19" s="200" t="s">
        <v>31</v>
      </c>
      <c r="D19" s="201"/>
      <c r="E19" s="37">
        <v>49839.944000000003</v>
      </c>
      <c r="F19" s="198"/>
      <c r="G19" s="195">
        <f t="shared" si="1"/>
        <v>49839.944000000003</v>
      </c>
      <c r="H19" s="187"/>
      <c r="I19" s="188">
        <f t="shared" si="2"/>
        <v>49839.944000000003</v>
      </c>
      <c r="J19" s="203"/>
      <c r="K19" s="198"/>
      <c r="L19" s="37">
        <v>656.72699999999998</v>
      </c>
      <c r="M19" s="392">
        <f t="shared" si="0"/>
        <v>656.72699999999998</v>
      </c>
      <c r="N19" s="187"/>
      <c r="O19" s="189">
        <f t="shared" si="3"/>
        <v>656.72699999999998</v>
      </c>
      <c r="P19" s="201"/>
      <c r="Q19" s="37">
        <v>24576.460999999999</v>
      </c>
      <c r="R19" s="198"/>
      <c r="S19" s="195">
        <f t="shared" si="4"/>
        <v>24576.460999999999</v>
      </c>
      <c r="T19" s="187"/>
      <c r="U19" s="188">
        <f t="shared" si="5"/>
        <v>24576.460999999999</v>
      </c>
      <c r="V19" s="201"/>
      <c r="W19" s="37">
        <v>36158</v>
      </c>
      <c r="X19" s="198"/>
      <c r="Y19" s="195">
        <f t="shared" si="6"/>
        <v>36158</v>
      </c>
      <c r="Z19" s="187"/>
      <c r="AA19" s="188">
        <f t="shared" si="7"/>
        <v>36158</v>
      </c>
      <c r="AB19" s="190">
        <f t="shared" si="8"/>
        <v>55.057885544526115</v>
      </c>
      <c r="AC19" s="3"/>
      <c r="AD19" s="3"/>
    </row>
    <row r="20" spans="1:30" x14ac:dyDescent="0.25">
      <c r="A20" s="3"/>
      <c r="B20" s="191" t="s">
        <v>32</v>
      </c>
      <c r="C20" s="202" t="s">
        <v>33</v>
      </c>
      <c r="D20" s="203"/>
      <c r="E20" s="198"/>
      <c r="F20" s="37">
        <v>1434.4490000000001</v>
      </c>
      <c r="G20" s="195">
        <f t="shared" si="1"/>
        <v>1434.4490000000001</v>
      </c>
      <c r="H20" s="187"/>
      <c r="I20" s="188">
        <f t="shared" si="2"/>
        <v>1434.4490000000001</v>
      </c>
      <c r="J20" s="201"/>
      <c r="K20" s="194"/>
      <c r="L20" s="205">
        <v>50</v>
      </c>
      <c r="M20" s="392">
        <f t="shared" si="0"/>
        <v>50</v>
      </c>
      <c r="N20" s="187"/>
      <c r="O20" s="189">
        <f t="shared" si="3"/>
        <v>50</v>
      </c>
      <c r="P20" s="203"/>
      <c r="Q20" s="198"/>
      <c r="R20" s="37">
        <v>450.11700000000002</v>
      </c>
      <c r="S20" s="195">
        <f t="shared" si="4"/>
        <v>450.11700000000002</v>
      </c>
      <c r="T20" s="187"/>
      <c r="U20" s="188">
        <f t="shared" si="5"/>
        <v>450.11700000000002</v>
      </c>
      <c r="V20" s="203"/>
      <c r="W20" s="198"/>
      <c r="X20" s="37">
        <v>505.58600000000001</v>
      </c>
      <c r="Y20" s="195">
        <f t="shared" si="6"/>
        <v>505.58600000000001</v>
      </c>
      <c r="Z20" s="187"/>
      <c r="AA20" s="188">
        <f t="shared" si="7"/>
        <v>505.58600000000001</v>
      </c>
      <c r="AB20" s="190">
        <f t="shared" si="8"/>
        <v>10.11172</v>
      </c>
      <c r="AC20" s="3"/>
      <c r="AD20" s="3"/>
    </row>
    <row r="21" spans="1:30" x14ac:dyDescent="0.25">
      <c r="A21" s="3"/>
      <c r="B21" s="191" t="s">
        <v>34</v>
      </c>
      <c r="C21" s="204" t="s">
        <v>35</v>
      </c>
      <c r="D21" s="201"/>
      <c r="E21" s="194"/>
      <c r="F21" s="205">
        <v>293.37599999999998</v>
      </c>
      <c r="G21" s="195">
        <f t="shared" si="1"/>
        <v>293.37599999999998</v>
      </c>
      <c r="H21" s="187"/>
      <c r="I21" s="188">
        <f t="shared" si="2"/>
        <v>293.37599999999998</v>
      </c>
      <c r="J21" s="201"/>
      <c r="K21" s="194"/>
      <c r="L21" s="205">
        <v>200</v>
      </c>
      <c r="M21" s="392">
        <f t="shared" si="0"/>
        <v>200</v>
      </c>
      <c r="N21" s="207"/>
      <c r="O21" s="189">
        <f t="shared" si="3"/>
        <v>200</v>
      </c>
      <c r="P21" s="201"/>
      <c r="Q21" s="194"/>
      <c r="R21" s="205">
        <v>355.73599999999999</v>
      </c>
      <c r="S21" s="195">
        <f t="shared" si="4"/>
        <v>355.73599999999999</v>
      </c>
      <c r="T21" s="187"/>
      <c r="U21" s="188">
        <f t="shared" si="5"/>
        <v>355.73599999999999</v>
      </c>
      <c r="V21" s="201"/>
      <c r="W21" s="194"/>
      <c r="X21" s="205">
        <v>300</v>
      </c>
      <c r="Y21" s="195">
        <f t="shared" si="6"/>
        <v>300</v>
      </c>
      <c r="Z21" s="187"/>
      <c r="AA21" s="188">
        <f t="shared" si="7"/>
        <v>300</v>
      </c>
      <c r="AB21" s="190">
        <f t="shared" si="8"/>
        <v>1.5</v>
      </c>
      <c r="AC21" s="3"/>
      <c r="AD21" s="3"/>
    </row>
    <row r="22" spans="1:30" x14ac:dyDescent="0.25">
      <c r="A22" s="3"/>
      <c r="B22" s="191" t="s">
        <v>36</v>
      </c>
      <c r="C22" s="206" t="s">
        <v>37</v>
      </c>
      <c r="D22" s="201"/>
      <c r="E22" s="194"/>
      <c r="F22" s="205">
        <v>463.68200000000002</v>
      </c>
      <c r="G22" s="195">
        <f t="shared" si="1"/>
        <v>463.68200000000002</v>
      </c>
      <c r="H22" s="207">
        <v>489.66500000000002</v>
      </c>
      <c r="I22" s="188">
        <f>G22+H22</f>
        <v>953.34699999999998</v>
      </c>
      <c r="J22" s="201"/>
      <c r="K22" s="194"/>
      <c r="L22" s="205"/>
      <c r="M22" s="392">
        <f t="shared" si="0"/>
        <v>0</v>
      </c>
      <c r="N22" s="207">
        <v>200</v>
      </c>
      <c r="O22" s="189">
        <f>M22+N22</f>
        <v>200</v>
      </c>
      <c r="P22" s="201"/>
      <c r="Q22" s="194"/>
      <c r="R22" s="205">
        <v>286.66500000000002</v>
      </c>
      <c r="S22" s="195">
        <f t="shared" si="4"/>
        <v>286.66500000000002</v>
      </c>
      <c r="T22" s="207">
        <v>241.16499999999999</v>
      </c>
      <c r="U22" s="188">
        <f>S22+T22</f>
        <v>527.83000000000004</v>
      </c>
      <c r="V22" s="201"/>
      <c r="W22" s="194"/>
      <c r="X22" s="205">
        <v>70</v>
      </c>
      <c r="Y22" s="195">
        <f t="shared" si="6"/>
        <v>70</v>
      </c>
      <c r="Z22" s="207">
        <v>250</v>
      </c>
      <c r="AA22" s="188">
        <f>Y22+Z22</f>
        <v>320</v>
      </c>
      <c r="AB22" s="190">
        <f t="shared" si="8"/>
        <v>1.6</v>
      </c>
      <c r="AC22" s="3"/>
      <c r="AD22" s="3"/>
    </row>
    <row r="23" spans="1:30" x14ac:dyDescent="0.25">
      <c r="A23" s="3"/>
      <c r="B23" s="191" t="s">
        <v>38</v>
      </c>
      <c r="C23" s="206" t="s">
        <v>39</v>
      </c>
      <c r="D23" s="201"/>
      <c r="E23" s="194"/>
      <c r="F23" s="205"/>
      <c r="G23" s="195">
        <f t="shared" si="1"/>
        <v>0</v>
      </c>
      <c r="H23" s="207">
        <v>489.66500000000002</v>
      </c>
      <c r="I23" s="188">
        <f t="shared" si="2"/>
        <v>489.66500000000002</v>
      </c>
      <c r="J23" s="210"/>
      <c r="K23" s="211"/>
      <c r="L23" s="212"/>
      <c r="M23" s="392">
        <f t="shared" si="0"/>
        <v>0</v>
      </c>
      <c r="N23" s="214">
        <v>200</v>
      </c>
      <c r="O23" s="189">
        <f t="shared" ref="O23:O24" si="9">M23+N23</f>
        <v>200</v>
      </c>
      <c r="P23" s="201"/>
      <c r="Q23" s="194"/>
      <c r="R23" s="205"/>
      <c r="S23" s="195">
        <f t="shared" si="4"/>
        <v>0</v>
      </c>
      <c r="T23" s="207">
        <v>241.16499999999999</v>
      </c>
      <c r="U23" s="188">
        <f t="shared" ref="U23:U24" si="10">S23+T23</f>
        <v>241.16499999999999</v>
      </c>
      <c r="V23" s="201"/>
      <c r="W23" s="194"/>
      <c r="X23" s="205"/>
      <c r="Y23" s="195">
        <f t="shared" si="6"/>
        <v>0</v>
      </c>
      <c r="Z23" s="207">
        <v>250</v>
      </c>
      <c r="AA23" s="188">
        <f t="shared" ref="AA23:AA24" si="11">Y23+Z23</f>
        <v>250</v>
      </c>
      <c r="AB23" s="190">
        <f t="shared" si="8"/>
        <v>1.25</v>
      </c>
      <c r="AC23" s="3"/>
      <c r="AD23" s="3"/>
    </row>
    <row r="24" spans="1:30" ht="15.75" thickBot="1" x14ac:dyDescent="0.3">
      <c r="A24" s="3"/>
      <c r="B24" s="208" t="s">
        <v>40</v>
      </c>
      <c r="C24" s="209" t="s">
        <v>41</v>
      </c>
      <c r="D24" s="210"/>
      <c r="E24" s="211"/>
      <c r="F24" s="212"/>
      <c r="G24" s="213">
        <f t="shared" si="1"/>
        <v>0</v>
      </c>
      <c r="H24" s="214"/>
      <c r="I24" s="215">
        <f t="shared" si="2"/>
        <v>0</v>
      </c>
      <c r="J24" s="401"/>
      <c r="K24" s="402"/>
      <c r="L24" s="403"/>
      <c r="M24" s="404">
        <f t="shared" si="0"/>
        <v>0</v>
      </c>
      <c r="N24" s="405"/>
      <c r="O24" s="216">
        <f t="shared" si="9"/>
        <v>0</v>
      </c>
      <c r="P24" s="210"/>
      <c r="Q24" s="211"/>
      <c r="R24" s="212"/>
      <c r="S24" s="213">
        <f t="shared" si="4"/>
        <v>0</v>
      </c>
      <c r="T24" s="214"/>
      <c r="U24" s="215">
        <f t="shared" si="10"/>
        <v>0</v>
      </c>
      <c r="V24" s="210"/>
      <c r="W24" s="211"/>
      <c r="X24" s="212"/>
      <c r="Y24" s="213">
        <f t="shared" si="6"/>
        <v>0</v>
      </c>
      <c r="Z24" s="214"/>
      <c r="AA24" s="215">
        <f t="shared" si="11"/>
        <v>0</v>
      </c>
      <c r="AB24" s="217" t="e">
        <f t="shared" si="8"/>
        <v>#DIV/0!</v>
      </c>
      <c r="AC24" s="3"/>
      <c r="AD24" s="3"/>
    </row>
    <row r="25" spans="1:30" ht="15.75" thickBot="1" x14ac:dyDescent="0.3">
      <c r="A25" s="3"/>
      <c r="B25" s="218" t="s">
        <v>42</v>
      </c>
      <c r="C25" s="219" t="s">
        <v>43</v>
      </c>
      <c r="D25" s="220">
        <f>SUM(D15:D22)</f>
        <v>8024.6</v>
      </c>
      <c r="E25" s="221">
        <f>SUM(E15:E22)</f>
        <v>49839.944000000003</v>
      </c>
      <c r="F25" s="221">
        <f>SUM(F15:F22)</f>
        <v>4080.6589999999997</v>
      </c>
      <c r="G25" s="222">
        <f>SUM(D25:F25)</f>
        <v>61945.203000000001</v>
      </c>
      <c r="H25" s="223">
        <f>SUM(H15:H22)</f>
        <v>489.66500000000002</v>
      </c>
      <c r="I25" s="223">
        <f>SUM(I15:I22)</f>
        <v>62434.868000000002</v>
      </c>
      <c r="J25" s="224">
        <f>SUM(J15:J22)</f>
        <v>9978.6</v>
      </c>
      <c r="K25" s="225">
        <f>SUM(K15:K22)</f>
        <v>46927.116999999998</v>
      </c>
      <c r="L25" s="225">
        <f>SUM(L15:L22)</f>
        <v>3606.7269999999999</v>
      </c>
      <c r="M25" s="226">
        <f>SUM(J25:L25)</f>
        <v>60512.443999999996</v>
      </c>
      <c r="N25" s="227">
        <f>SUM(N15:N22)</f>
        <v>200</v>
      </c>
      <c r="O25" s="227">
        <f>SUM(O15:O22)</f>
        <v>60712.443999999996</v>
      </c>
      <c r="P25" s="220">
        <f>SUM(P15:P22)</f>
        <v>4450.3</v>
      </c>
      <c r="Q25" s="221">
        <f>SUM(Q15:Q22)</f>
        <v>24576.460999999999</v>
      </c>
      <c r="R25" s="221">
        <f>SUM(R15:R22)</f>
        <v>2159.261</v>
      </c>
      <c r="S25" s="222">
        <f>SUM(P25:R25)</f>
        <v>31186.021999999997</v>
      </c>
      <c r="T25" s="223">
        <f>SUM(T15:T22)</f>
        <v>241.16499999999999</v>
      </c>
      <c r="U25" s="223">
        <f>SUM(U15:U22)</f>
        <v>31427.187000000002</v>
      </c>
      <c r="V25" s="220">
        <f>SUM(V15:V22)</f>
        <v>17143.444</v>
      </c>
      <c r="W25" s="221">
        <f>SUM(W15:W22)</f>
        <v>36158</v>
      </c>
      <c r="X25" s="221">
        <f>SUM(X15:X22)</f>
        <v>3755.5860000000002</v>
      </c>
      <c r="Y25" s="222">
        <f>SUM(V25:X25)</f>
        <v>57057.030000000006</v>
      </c>
      <c r="Z25" s="223">
        <f>SUM(Z15:Z22)</f>
        <v>250</v>
      </c>
      <c r="AA25" s="223">
        <f>SUM(AA15:AA22)</f>
        <v>57307.030000000006</v>
      </c>
      <c r="AB25" s="228">
        <f t="shared" si="8"/>
        <v>0.94390912676814676</v>
      </c>
      <c r="AC25" s="3"/>
      <c r="AD25" s="3"/>
    </row>
    <row r="26" spans="1:30" ht="15.75" customHeight="1" thickBot="1" x14ac:dyDescent="0.3">
      <c r="A26" s="3"/>
      <c r="B26" s="229"/>
      <c r="C26" s="230"/>
      <c r="D26" s="655" t="s">
        <v>44</v>
      </c>
      <c r="E26" s="656"/>
      <c r="F26" s="656"/>
      <c r="G26" s="657"/>
      <c r="H26" s="657"/>
      <c r="I26" s="658"/>
      <c r="J26" s="659" t="s">
        <v>44</v>
      </c>
      <c r="K26" s="660"/>
      <c r="L26" s="660"/>
      <c r="M26" s="661"/>
      <c r="N26" s="661"/>
      <c r="O26" s="662"/>
      <c r="P26" s="655" t="s">
        <v>44</v>
      </c>
      <c r="Q26" s="656"/>
      <c r="R26" s="656"/>
      <c r="S26" s="657"/>
      <c r="T26" s="657"/>
      <c r="U26" s="658"/>
      <c r="V26" s="655" t="s">
        <v>44</v>
      </c>
      <c r="W26" s="656"/>
      <c r="X26" s="656"/>
      <c r="Y26" s="657"/>
      <c r="Z26" s="657"/>
      <c r="AA26" s="658"/>
      <c r="AB26" s="663" t="s">
        <v>13</v>
      </c>
      <c r="AC26" s="3"/>
      <c r="AD26" s="3"/>
    </row>
    <row r="27" spans="1:30" ht="15.75" thickBot="1" x14ac:dyDescent="0.3">
      <c r="A27" s="3"/>
      <c r="B27" s="649" t="s">
        <v>7</v>
      </c>
      <c r="C27" s="651" t="s">
        <v>8</v>
      </c>
      <c r="D27" s="645" t="s">
        <v>45</v>
      </c>
      <c r="E27" s="646"/>
      <c r="F27" s="646"/>
      <c r="G27" s="647" t="s">
        <v>46</v>
      </c>
      <c r="H27" s="637" t="s">
        <v>47</v>
      </c>
      <c r="I27" s="639" t="s">
        <v>44</v>
      </c>
      <c r="J27" s="666" t="s">
        <v>45</v>
      </c>
      <c r="K27" s="667"/>
      <c r="L27" s="667"/>
      <c r="M27" s="668" t="s">
        <v>46</v>
      </c>
      <c r="N27" s="670" t="s">
        <v>47</v>
      </c>
      <c r="O27" s="672" t="s">
        <v>44</v>
      </c>
      <c r="P27" s="645" t="s">
        <v>45</v>
      </c>
      <c r="Q27" s="646"/>
      <c r="R27" s="646"/>
      <c r="S27" s="647" t="s">
        <v>46</v>
      </c>
      <c r="T27" s="637" t="s">
        <v>47</v>
      </c>
      <c r="U27" s="639" t="s">
        <v>44</v>
      </c>
      <c r="V27" s="645" t="s">
        <v>45</v>
      </c>
      <c r="W27" s="646"/>
      <c r="X27" s="646"/>
      <c r="Y27" s="647" t="s">
        <v>46</v>
      </c>
      <c r="Z27" s="637" t="s">
        <v>47</v>
      </c>
      <c r="AA27" s="639" t="s">
        <v>44</v>
      </c>
      <c r="AB27" s="664"/>
      <c r="AC27" s="3"/>
      <c r="AD27" s="3"/>
    </row>
    <row r="28" spans="1:30" ht="15.75" thickBot="1" x14ac:dyDescent="0.3">
      <c r="A28" s="3"/>
      <c r="B28" s="650"/>
      <c r="C28" s="652"/>
      <c r="D28" s="231" t="s">
        <v>48</v>
      </c>
      <c r="E28" s="232" t="s">
        <v>49</v>
      </c>
      <c r="F28" s="233" t="s">
        <v>50</v>
      </c>
      <c r="G28" s="648"/>
      <c r="H28" s="638"/>
      <c r="I28" s="640"/>
      <c r="J28" s="234" t="s">
        <v>48</v>
      </c>
      <c r="K28" s="235" t="s">
        <v>49</v>
      </c>
      <c r="L28" s="236" t="s">
        <v>50</v>
      </c>
      <c r="M28" s="669"/>
      <c r="N28" s="671"/>
      <c r="O28" s="673"/>
      <c r="P28" s="231" t="s">
        <v>48</v>
      </c>
      <c r="Q28" s="232" t="s">
        <v>49</v>
      </c>
      <c r="R28" s="233" t="s">
        <v>50</v>
      </c>
      <c r="S28" s="648"/>
      <c r="T28" s="638"/>
      <c r="U28" s="640"/>
      <c r="V28" s="231" t="s">
        <v>48</v>
      </c>
      <c r="W28" s="232" t="s">
        <v>49</v>
      </c>
      <c r="X28" s="233" t="s">
        <v>50</v>
      </c>
      <c r="Y28" s="648"/>
      <c r="Z28" s="638"/>
      <c r="AA28" s="640"/>
      <c r="AB28" s="665"/>
      <c r="AC28" s="3"/>
      <c r="AD28" s="3"/>
    </row>
    <row r="29" spans="1:30" x14ac:dyDescent="0.25">
      <c r="A29" s="3"/>
      <c r="B29" s="181" t="s">
        <v>51</v>
      </c>
      <c r="C29" s="182" t="s">
        <v>52</v>
      </c>
      <c r="D29" s="237">
        <v>279.43</v>
      </c>
      <c r="E29" s="237"/>
      <c r="F29" s="237"/>
      <c r="G29" s="238">
        <f>SUM(D29:F29)</f>
        <v>279.43</v>
      </c>
      <c r="H29" s="238"/>
      <c r="I29" s="239">
        <f>G29+H29</f>
        <v>279.43</v>
      </c>
      <c r="J29" s="240">
        <v>300</v>
      </c>
      <c r="K29" s="237"/>
      <c r="L29" s="237"/>
      <c r="M29" s="408">
        <f>SUM(J29:L29)</f>
        <v>300</v>
      </c>
      <c r="N29" s="238"/>
      <c r="O29" s="241">
        <f>M29+N29</f>
        <v>300</v>
      </c>
      <c r="P29" s="240">
        <v>192.86500000000001</v>
      </c>
      <c r="Q29" s="237"/>
      <c r="R29" s="237">
        <v>389.49</v>
      </c>
      <c r="S29" s="238">
        <f>SUM(P29:R29)</f>
        <v>582.35500000000002</v>
      </c>
      <c r="T29" s="238"/>
      <c r="U29" s="239">
        <f>S29+T29</f>
        <v>582.35500000000002</v>
      </c>
      <c r="V29" s="240">
        <v>450</v>
      </c>
      <c r="W29" s="237"/>
      <c r="X29" s="237">
        <v>150</v>
      </c>
      <c r="Y29" s="238">
        <f>SUM(V29:X29)</f>
        <v>600</v>
      </c>
      <c r="Z29" s="238"/>
      <c r="AA29" s="239">
        <f>Y29+Z29</f>
        <v>600</v>
      </c>
      <c r="AB29" s="190">
        <f t="shared" ref="AB29:AB42" si="12">(AA29/O29)</f>
        <v>2</v>
      </c>
      <c r="AC29" s="3"/>
      <c r="AD29" s="3"/>
    </row>
    <row r="30" spans="1:30" x14ac:dyDescent="0.25">
      <c r="A30" s="3"/>
      <c r="B30" s="191" t="s">
        <v>53</v>
      </c>
      <c r="C30" s="206" t="s">
        <v>54</v>
      </c>
      <c r="D30" s="242">
        <v>664.197</v>
      </c>
      <c r="E30" s="242">
        <v>444.27699999999999</v>
      </c>
      <c r="F30" s="242">
        <v>1823.9380000000001</v>
      </c>
      <c r="G30" s="243">
        <f t="shared" ref="G30:G39" si="13">SUM(D30:F30)</f>
        <v>2932.4120000000003</v>
      </c>
      <c r="H30" s="243">
        <v>27.532</v>
      </c>
      <c r="I30" s="188">
        <f t="shared" ref="I30:I39" si="14">G30+H30</f>
        <v>2959.9440000000004</v>
      </c>
      <c r="J30" s="244">
        <v>768.82399999999996</v>
      </c>
      <c r="K30" s="242">
        <v>367.517</v>
      </c>
      <c r="L30" s="242">
        <v>2800</v>
      </c>
      <c r="M30" s="247">
        <f t="shared" ref="M30:M39" si="15">SUM(J30:L30)</f>
        <v>3936.3409999999999</v>
      </c>
      <c r="N30" s="243">
        <v>50</v>
      </c>
      <c r="O30" s="189">
        <f t="shared" ref="O30:O39" si="16">M30+N30</f>
        <v>3986.3409999999999</v>
      </c>
      <c r="P30" s="244">
        <v>380.73200000000003</v>
      </c>
      <c r="Q30" s="242">
        <v>368.52600000000001</v>
      </c>
      <c r="R30" s="242">
        <v>1027.201</v>
      </c>
      <c r="S30" s="243">
        <f t="shared" ref="S30:S39" si="17">SUM(P30:R30)</f>
        <v>1776.4590000000001</v>
      </c>
      <c r="T30" s="243"/>
      <c r="U30" s="188">
        <f t="shared" ref="U30:U39" si="18">S30+T30</f>
        <v>1776.4590000000001</v>
      </c>
      <c r="V30" s="244">
        <v>1245</v>
      </c>
      <c r="W30" s="242">
        <v>350</v>
      </c>
      <c r="X30" s="242">
        <v>2950</v>
      </c>
      <c r="Y30" s="243">
        <f t="shared" ref="Y30:Y39" si="19">SUM(V30:X30)</f>
        <v>4545</v>
      </c>
      <c r="Z30" s="243">
        <v>50</v>
      </c>
      <c r="AA30" s="188">
        <f t="shared" ref="AA30:AA39" si="20">Y30+Z30</f>
        <v>4595</v>
      </c>
      <c r="AB30" s="190">
        <f t="shared" si="12"/>
        <v>1.1526861349794211</v>
      </c>
      <c r="AC30" s="3"/>
      <c r="AD30" s="3"/>
    </row>
    <row r="31" spans="1:30" x14ac:dyDescent="0.25">
      <c r="A31" s="3"/>
      <c r="B31" s="191" t="s">
        <v>55</v>
      </c>
      <c r="C31" s="206" t="s">
        <v>56</v>
      </c>
      <c r="D31" s="242">
        <v>4451.8069999999998</v>
      </c>
      <c r="E31" s="242"/>
      <c r="F31" s="242">
        <v>210</v>
      </c>
      <c r="G31" s="243">
        <f t="shared" si="13"/>
        <v>4661.8069999999998</v>
      </c>
      <c r="H31" s="243">
        <v>171.94</v>
      </c>
      <c r="I31" s="188">
        <f t="shared" si="14"/>
        <v>4833.7469999999994</v>
      </c>
      <c r="J31" s="244">
        <v>5150</v>
      </c>
      <c r="K31" s="242"/>
      <c r="L31" s="242"/>
      <c r="M31" s="247">
        <f t="shared" si="15"/>
        <v>5150</v>
      </c>
      <c r="N31" s="243">
        <v>100</v>
      </c>
      <c r="O31" s="189">
        <f t="shared" si="16"/>
        <v>5250</v>
      </c>
      <c r="P31" s="244">
        <v>2881.9960000000001</v>
      </c>
      <c r="Q31" s="242"/>
      <c r="R31" s="242"/>
      <c r="S31" s="243">
        <f t="shared" si="17"/>
        <v>2881.9960000000001</v>
      </c>
      <c r="T31" s="243"/>
      <c r="U31" s="188">
        <f t="shared" si="18"/>
        <v>2881.9960000000001</v>
      </c>
      <c r="V31" s="244">
        <v>5150</v>
      </c>
      <c r="W31" s="242"/>
      <c r="X31" s="242"/>
      <c r="Y31" s="243">
        <f t="shared" si="19"/>
        <v>5150</v>
      </c>
      <c r="Z31" s="243">
        <v>150</v>
      </c>
      <c r="AA31" s="188">
        <f t="shared" si="20"/>
        <v>5300</v>
      </c>
      <c r="AB31" s="190">
        <f t="shared" si="12"/>
        <v>1.0095238095238095</v>
      </c>
      <c r="AC31" s="3"/>
      <c r="AD31" s="3"/>
    </row>
    <row r="32" spans="1:30" x14ac:dyDescent="0.25">
      <c r="A32" s="3"/>
      <c r="B32" s="191" t="s">
        <v>57</v>
      </c>
      <c r="C32" s="206" t="s">
        <v>58</v>
      </c>
      <c r="D32" s="242">
        <v>1386.6220000000001</v>
      </c>
      <c r="E32" s="242">
        <v>638.09900000000005</v>
      </c>
      <c r="F32" s="242">
        <v>7.31</v>
      </c>
      <c r="G32" s="243">
        <f t="shared" si="13"/>
        <v>2032.0309999999999</v>
      </c>
      <c r="H32" s="243">
        <v>13.624000000000001</v>
      </c>
      <c r="I32" s="188">
        <f t="shared" si="14"/>
        <v>2045.655</v>
      </c>
      <c r="J32" s="244">
        <v>2118.1849999999999</v>
      </c>
      <c r="K32" s="242">
        <v>120</v>
      </c>
      <c r="L32" s="242"/>
      <c r="M32" s="247">
        <f t="shared" si="15"/>
        <v>2238.1849999999999</v>
      </c>
      <c r="N32" s="243">
        <v>50</v>
      </c>
      <c r="O32" s="189">
        <f t="shared" si="16"/>
        <v>2288.1849999999999</v>
      </c>
      <c r="P32" s="244">
        <v>618.43499999999995</v>
      </c>
      <c r="Q32" s="242">
        <v>403.58499999999998</v>
      </c>
      <c r="R32" s="242">
        <v>19</v>
      </c>
      <c r="S32" s="243">
        <f t="shared" si="17"/>
        <v>1041.02</v>
      </c>
      <c r="T32" s="243"/>
      <c r="U32" s="188">
        <f t="shared" si="18"/>
        <v>1041.02</v>
      </c>
      <c r="V32" s="244">
        <v>1272.1120000000001</v>
      </c>
      <c r="W32" s="242">
        <v>86.207999999999998</v>
      </c>
      <c r="X32" s="242"/>
      <c r="Y32" s="243">
        <f t="shared" si="19"/>
        <v>1358.3200000000002</v>
      </c>
      <c r="Z32" s="243">
        <v>50</v>
      </c>
      <c r="AA32" s="188">
        <f t="shared" si="20"/>
        <v>1408.3200000000002</v>
      </c>
      <c r="AB32" s="190">
        <f t="shared" si="12"/>
        <v>0.61547471030532941</v>
      </c>
      <c r="AC32" s="3"/>
      <c r="AD32" s="3"/>
    </row>
    <row r="33" spans="1:30" x14ac:dyDescent="0.25">
      <c r="A33" s="3"/>
      <c r="B33" s="191" t="s">
        <v>59</v>
      </c>
      <c r="C33" s="206" t="s">
        <v>60</v>
      </c>
      <c r="D33" s="572">
        <v>121.068</v>
      </c>
      <c r="E33" s="242">
        <v>35763.385999999999</v>
      </c>
      <c r="F33" s="242">
        <v>41.323999999999998</v>
      </c>
      <c r="G33" s="243">
        <f t="shared" si="13"/>
        <v>35925.777999999998</v>
      </c>
      <c r="H33" s="243"/>
      <c r="I33" s="188">
        <f t="shared" si="14"/>
        <v>35925.777999999998</v>
      </c>
      <c r="J33" s="249">
        <v>124.851</v>
      </c>
      <c r="K33" s="242">
        <v>34240</v>
      </c>
      <c r="L33" s="242"/>
      <c r="M33" s="247">
        <f t="shared" si="15"/>
        <v>34364.851000000002</v>
      </c>
      <c r="N33" s="243"/>
      <c r="O33" s="189">
        <f t="shared" si="16"/>
        <v>34364.851000000002</v>
      </c>
      <c r="P33" s="466">
        <v>124.851</v>
      </c>
      <c r="Q33" s="242">
        <v>17624.448</v>
      </c>
      <c r="R33" s="242"/>
      <c r="S33" s="243">
        <f t="shared" si="17"/>
        <v>17749.298999999999</v>
      </c>
      <c r="T33" s="243"/>
      <c r="U33" s="188">
        <f t="shared" si="18"/>
        <v>17749.298999999999</v>
      </c>
      <c r="V33" s="466">
        <v>5332.116</v>
      </c>
      <c r="W33" s="242">
        <v>26544</v>
      </c>
      <c r="X33" s="242"/>
      <c r="Y33" s="243">
        <f t="shared" si="19"/>
        <v>31876.116000000002</v>
      </c>
      <c r="Z33" s="243"/>
      <c r="AA33" s="188">
        <f t="shared" si="20"/>
        <v>31876.116000000002</v>
      </c>
      <c r="AB33" s="190">
        <f t="shared" si="12"/>
        <v>0.92757905454034995</v>
      </c>
      <c r="AC33" s="3"/>
      <c r="AD33" s="3"/>
    </row>
    <row r="34" spans="1:30" x14ac:dyDescent="0.25">
      <c r="A34" s="3"/>
      <c r="B34" s="191" t="s">
        <v>61</v>
      </c>
      <c r="C34" s="202" t="s">
        <v>127</v>
      </c>
      <c r="D34" s="572">
        <v>121.068</v>
      </c>
      <c r="E34" s="242">
        <v>35293.462</v>
      </c>
      <c r="F34" s="242">
        <v>41.323999999999998</v>
      </c>
      <c r="G34" s="243">
        <f t="shared" si="13"/>
        <v>35455.853999999999</v>
      </c>
      <c r="H34" s="243"/>
      <c r="I34" s="188">
        <f t="shared" si="14"/>
        <v>35455.853999999999</v>
      </c>
      <c r="J34" s="249">
        <v>124.851</v>
      </c>
      <c r="K34" s="242">
        <v>34000</v>
      </c>
      <c r="L34" s="242"/>
      <c r="M34" s="247">
        <f t="shared" si="15"/>
        <v>34124.851000000002</v>
      </c>
      <c r="N34" s="243"/>
      <c r="O34" s="189">
        <f t="shared" si="16"/>
        <v>34124.851000000002</v>
      </c>
      <c r="P34" s="466">
        <v>124.851</v>
      </c>
      <c r="Q34" s="242">
        <v>17175.313999999998</v>
      </c>
      <c r="R34" s="242"/>
      <c r="S34" s="243">
        <f t="shared" si="17"/>
        <v>17300.164999999997</v>
      </c>
      <c r="T34" s="243"/>
      <c r="U34" s="188">
        <f t="shared" si="18"/>
        <v>17300.164999999997</v>
      </c>
      <c r="V34" s="466">
        <v>5332.116</v>
      </c>
      <c r="W34" s="242">
        <v>26384</v>
      </c>
      <c r="X34" s="242"/>
      <c r="Y34" s="243">
        <f t="shared" si="19"/>
        <v>31716.116000000002</v>
      </c>
      <c r="Z34" s="243"/>
      <c r="AA34" s="188">
        <f t="shared" si="20"/>
        <v>31716.116000000002</v>
      </c>
      <c r="AB34" s="190">
        <f t="shared" si="12"/>
        <v>0.92941405077490302</v>
      </c>
      <c r="AC34" s="3"/>
      <c r="AD34" s="3"/>
    </row>
    <row r="35" spans="1:30" x14ac:dyDescent="0.25">
      <c r="A35" s="3"/>
      <c r="B35" s="191" t="s">
        <v>63</v>
      </c>
      <c r="C35" s="250" t="s">
        <v>64</v>
      </c>
      <c r="D35" s="248">
        <v>0</v>
      </c>
      <c r="E35" s="242">
        <v>469.92399999999998</v>
      </c>
      <c r="F35" s="242"/>
      <c r="G35" s="243">
        <f t="shared" si="13"/>
        <v>469.92399999999998</v>
      </c>
      <c r="H35" s="243"/>
      <c r="I35" s="188">
        <f t="shared" si="14"/>
        <v>469.92399999999998</v>
      </c>
      <c r="J35" s="249"/>
      <c r="K35" s="242">
        <v>240</v>
      </c>
      <c r="L35" s="242"/>
      <c r="M35" s="247">
        <f>SUM(J35:L35)</f>
        <v>240</v>
      </c>
      <c r="N35" s="243"/>
      <c r="O35" s="189">
        <f t="shared" si="16"/>
        <v>240</v>
      </c>
      <c r="P35" s="249"/>
      <c r="Q35" s="242">
        <v>449.13400000000001</v>
      </c>
      <c r="R35" s="242"/>
      <c r="S35" s="243">
        <f t="shared" si="17"/>
        <v>449.13400000000001</v>
      </c>
      <c r="T35" s="243"/>
      <c r="U35" s="188">
        <f t="shared" si="18"/>
        <v>449.13400000000001</v>
      </c>
      <c r="V35" s="249">
        <v>0</v>
      </c>
      <c r="W35" s="242">
        <v>160</v>
      </c>
      <c r="X35" s="242"/>
      <c r="Y35" s="243">
        <f t="shared" si="19"/>
        <v>160</v>
      </c>
      <c r="Z35" s="243"/>
      <c r="AA35" s="188">
        <f t="shared" si="20"/>
        <v>160</v>
      </c>
      <c r="AB35" s="190">
        <f t="shared" si="12"/>
        <v>0.66666666666666663</v>
      </c>
      <c r="AC35" s="3"/>
      <c r="AD35" s="3"/>
    </row>
    <row r="36" spans="1:30" x14ac:dyDescent="0.25">
      <c r="A36" s="3"/>
      <c r="B36" s="191" t="s">
        <v>65</v>
      </c>
      <c r="C36" s="206" t="s">
        <v>66</v>
      </c>
      <c r="D36" s="572">
        <v>80.914000000000001</v>
      </c>
      <c r="E36" s="242">
        <v>11982.289000000001</v>
      </c>
      <c r="F36" s="242"/>
      <c r="G36" s="243">
        <f t="shared" si="13"/>
        <v>12063.203000000001</v>
      </c>
      <c r="H36" s="243"/>
      <c r="I36" s="188">
        <f t="shared" si="14"/>
        <v>12063.203000000001</v>
      </c>
      <c r="J36" s="249">
        <v>42.2</v>
      </c>
      <c r="K36" s="242">
        <v>11630.6</v>
      </c>
      <c r="L36" s="242"/>
      <c r="M36" s="247">
        <f t="shared" ref="M36" si="21">SUM(J36:L36)</f>
        <v>11672.800000000001</v>
      </c>
      <c r="N36" s="243"/>
      <c r="O36" s="189">
        <f t="shared" si="16"/>
        <v>11672.800000000001</v>
      </c>
      <c r="P36" s="466">
        <v>44.228000000000002</v>
      </c>
      <c r="Q36" s="242">
        <v>5752.884</v>
      </c>
      <c r="R36" s="242"/>
      <c r="S36" s="243">
        <f t="shared" si="17"/>
        <v>5797.1120000000001</v>
      </c>
      <c r="T36" s="243"/>
      <c r="U36" s="188">
        <f t="shared" si="18"/>
        <v>5797.1120000000001</v>
      </c>
      <c r="V36" s="466">
        <v>1959.0070000000001</v>
      </c>
      <c r="W36" s="242">
        <v>8917.7919999999995</v>
      </c>
      <c r="X36" s="242"/>
      <c r="Y36" s="243">
        <f t="shared" si="19"/>
        <v>10876.798999999999</v>
      </c>
      <c r="Z36" s="243"/>
      <c r="AA36" s="188">
        <f t="shared" si="20"/>
        <v>10876.798999999999</v>
      </c>
      <c r="AB36" s="190">
        <f t="shared" si="12"/>
        <v>0.93180719279007596</v>
      </c>
      <c r="AC36" s="3"/>
      <c r="AD36" s="3"/>
    </row>
    <row r="37" spans="1:30" x14ac:dyDescent="0.25">
      <c r="A37" s="3"/>
      <c r="B37" s="191" t="s">
        <v>67</v>
      </c>
      <c r="C37" s="206" t="s">
        <v>68</v>
      </c>
      <c r="D37" s="242"/>
      <c r="E37" s="242"/>
      <c r="F37" s="242"/>
      <c r="G37" s="243">
        <f t="shared" si="13"/>
        <v>0</v>
      </c>
      <c r="H37" s="243"/>
      <c r="I37" s="188">
        <f t="shared" si="14"/>
        <v>0</v>
      </c>
      <c r="J37" s="244"/>
      <c r="K37" s="242"/>
      <c r="L37" s="242"/>
      <c r="M37" s="247">
        <f t="shared" si="15"/>
        <v>0</v>
      </c>
      <c r="N37" s="243"/>
      <c r="O37" s="189">
        <f t="shared" si="16"/>
        <v>0</v>
      </c>
      <c r="P37" s="244"/>
      <c r="Q37" s="242"/>
      <c r="R37" s="242"/>
      <c r="S37" s="243">
        <f t="shared" si="17"/>
        <v>0</v>
      </c>
      <c r="T37" s="243"/>
      <c r="U37" s="188">
        <f t="shared" si="18"/>
        <v>0</v>
      </c>
      <c r="V37" s="244"/>
      <c r="W37" s="242"/>
      <c r="X37" s="242"/>
      <c r="Y37" s="243">
        <f t="shared" si="19"/>
        <v>0</v>
      </c>
      <c r="Z37" s="243"/>
      <c r="AA37" s="188">
        <f t="shared" si="20"/>
        <v>0</v>
      </c>
      <c r="AB37" s="190" t="e">
        <f t="shared" si="12"/>
        <v>#DIV/0!</v>
      </c>
      <c r="AC37" s="3"/>
      <c r="AD37" s="3"/>
    </row>
    <row r="38" spans="1:30" x14ac:dyDescent="0.25">
      <c r="A38" s="3"/>
      <c r="B38" s="191" t="s">
        <v>69</v>
      </c>
      <c r="C38" s="206" t="s">
        <v>70</v>
      </c>
      <c r="D38" s="242">
        <v>669.87400000000002</v>
      </c>
      <c r="E38" s="242"/>
      <c r="F38" s="242">
        <v>1434.4490000000001</v>
      </c>
      <c r="G38" s="243">
        <f t="shared" si="13"/>
        <v>2104.3230000000003</v>
      </c>
      <c r="H38" s="243"/>
      <c r="I38" s="188">
        <f t="shared" si="14"/>
        <v>2104.3230000000003</v>
      </c>
      <c r="J38" s="244">
        <v>602.09100000000001</v>
      </c>
      <c r="K38" s="242"/>
      <c r="L38" s="242">
        <v>656.72699999999998</v>
      </c>
      <c r="M38" s="247">
        <f t="shared" si="15"/>
        <v>1258.818</v>
      </c>
      <c r="N38" s="243"/>
      <c r="O38" s="189">
        <f t="shared" si="16"/>
        <v>1258.818</v>
      </c>
      <c r="P38" s="244">
        <v>306.09100000000001</v>
      </c>
      <c r="Q38" s="242"/>
      <c r="R38" s="242">
        <v>450.11700000000002</v>
      </c>
      <c r="S38" s="243">
        <f t="shared" si="17"/>
        <v>756.20800000000008</v>
      </c>
      <c r="T38" s="243"/>
      <c r="U38" s="188">
        <f t="shared" si="18"/>
        <v>756.20800000000008</v>
      </c>
      <c r="V38" s="244">
        <v>656.88800000000003</v>
      </c>
      <c r="W38" s="242"/>
      <c r="X38" s="242">
        <v>505.58600000000001</v>
      </c>
      <c r="Y38" s="243">
        <f t="shared" si="19"/>
        <v>1162.4740000000002</v>
      </c>
      <c r="Z38" s="243"/>
      <c r="AA38" s="188">
        <f t="shared" si="20"/>
        <v>1162.4740000000002</v>
      </c>
      <c r="AB38" s="190">
        <f t="shared" si="12"/>
        <v>0.92346471054592494</v>
      </c>
      <c r="AC38" s="3"/>
      <c r="AD38" s="3"/>
    </row>
    <row r="39" spans="1:30" ht="15.75" thickBot="1" x14ac:dyDescent="0.3">
      <c r="A39" s="3"/>
      <c r="B39" s="409" t="s">
        <v>71</v>
      </c>
      <c r="C39" s="251" t="s">
        <v>72</v>
      </c>
      <c r="D39" s="85">
        <v>534.05999999999995</v>
      </c>
      <c r="E39" s="85">
        <v>1011.893</v>
      </c>
      <c r="F39" s="85">
        <v>108.568</v>
      </c>
      <c r="G39" s="243">
        <f t="shared" si="13"/>
        <v>1654.521</v>
      </c>
      <c r="H39" s="252"/>
      <c r="I39" s="215">
        <f t="shared" si="14"/>
        <v>1654.521</v>
      </c>
      <c r="J39" s="253">
        <v>872.44899999999996</v>
      </c>
      <c r="K39" s="85">
        <v>569</v>
      </c>
      <c r="L39" s="85">
        <v>150</v>
      </c>
      <c r="M39" s="412">
        <f t="shared" si="15"/>
        <v>1591.4490000000001</v>
      </c>
      <c r="N39" s="252"/>
      <c r="O39" s="216">
        <f t="shared" si="16"/>
        <v>1591.4490000000001</v>
      </c>
      <c r="P39" s="253">
        <v>342.75099999999998</v>
      </c>
      <c r="Q39" s="85">
        <v>427.017</v>
      </c>
      <c r="R39" s="85">
        <v>48.515000000000001</v>
      </c>
      <c r="S39" s="252">
        <f t="shared" si="17"/>
        <v>818.28300000000002</v>
      </c>
      <c r="T39" s="252"/>
      <c r="U39" s="215">
        <f t="shared" si="18"/>
        <v>818.28300000000002</v>
      </c>
      <c r="V39" s="253">
        <v>1078.3209999999999</v>
      </c>
      <c r="W39" s="85">
        <v>260</v>
      </c>
      <c r="X39" s="85">
        <v>150</v>
      </c>
      <c r="Y39" s="252">
        <f t="shared" si="19"/>
        <v>1488.3209999999999</v>
      </c>
      <c r="Z39" s="252"/>
      <c r="AA39" s="215">
        <f t="shared" si="20"/>
        <v>1488.3209999999999</v>
      </c>
      <c r="AB39" s="217">
        <f t="shared" si="12"/>
        <v>0.93519867743169893</v>
      </c>
      <c r="AC39" s="3"/>
      <c r="AD39" s="3"/>
    </row>
    <row r="40" spans="1:30" ht="15.75" thickBot="1" x14ac:dyDescent="0.3">
      <c r="A40" s="3"/>
      <c r="B40" s="218" t="s">
        <v>73</v>
      </c>
      <c r="C40" s="255" t="s">
        <v>74</v>
      </c>
      <c r="D40" s="256">
        <f>SUM(D36:D39)+SUM(D29:D33)</f>
        <v>8187.9719999999998</v>
      </c>
      <c r="E40" s="256">
        <f>SUM(E36:E39)+SUM(E29:E33)</f>
        <v>49839.943999999996</v>
      </c>
      <c r="F40" s="256">
        <f>SUM(F36:F39)+SUM(F29:F33)</f>
        <v>3625.5889999999999</v>
      </c>
      <c r="G40" s="257">
        <f>SUM(D40:F40)</f>
        <v>61653.504999999997</v>
      </c>
      <c r="H40" s="258">
        <f>SUM(H29:H33)+SUM(H36:H39)</f>
        <v>213.096</v>
      </c>
      <c r="I40" s="259">
        <f>SUM(I36:I39)+SUM(I29:I33)</f>
        <v>61866.600999999995</v>
      </c>
      <c r="J40" s="260">
        <f>SUM(J36:J39)+SUM(J29:J33)</f>
        <v>9978.6</v>
      </c>
      <c r="K40" s="260">
        <f>SUM(K36:K39)+SUM(K29:K33)</f>
        <v>46927.116999999998</v>
      </c>
      <c r="L40" s="260">
        <f>SUM(L36:L39)+SUM(L29:L33)</f>
        <v>3606.7269999999999</v>
      </c>
      <c r="M40" s="261">
        <f>SUM(J40:L40)</f>
        <v>60512.443999999996</v>
      </c>
      <c r="N40" s="262">
        <f>SUM(N29:N33)+SUM(N36:N39)</f>
        <v>200</v>
      </c>
      <c r="O40" s="263">
        <f>SUM(O36:O39)+SUM(O29:O33)</f>
        <v>60712.444000000003</v>
      </c>
      <c r="P40" s="256">
        <f>SUM(P36:P39)+SUM(P29:P33)</f>
        <v>4891.9489999999996</v>
      </c>
      <c r="Q40" s="256">
        <f>SUM(Q36:Q39)+SUM(Q29:Q33)</f>
        <v>24576.46</v>
      </c>
      <c r="R40" s="256">
        <f>SUM(R36:R39)+SUM(R29:R33)</f>
        <v>1934.3230000000001</v>
      </c>
      <c r="S40" s="257">
        <f>SUM(P40:R40)</f>
        <v>31402.732</v>
      </c>
      <c r="T40" s="258">
        <f>SUM(T29:T33)+SUM(T36:T39)</f>
        <v>0</v>
      </c>
      <c r="U40" s="259">
        <f>SUM(U36:U39)+SUM(U29:U33)</f>
        <v>31402.732</v>
      </c>
      <c r="V40" s="256">
        <f>SUM(V36:V39)+SUM(V29:V33)</f>
        <v>17143.444</v>
      </c>
      <c r="W40" s="256">
        <f>SUM(W36:W39)+SUM(W29:W33)</f>
        <v>36158</v>
      </c>
      <c r="X40" s="256">
        <f>SUM(X36:X39)+SUM(X29:X33)</f>
        <v>3755.5860000000002</v>
      </c>
      <c r="Y40" s="257">
        <f>SUM(V40:X40)</f>
        <v>57057.030000000006</v>
      </c>
      <c r="Z40" s="258">
        <f>SUM(Z29:Z33)+SUM(Z36:Z39)</f>
        <v>250</v>
      </c>
      <c r="AA40" s="259">
        <f>SUM(AA36:AA39)+SUM(AA29:AA33)</f>
        <v>57307.03</v>
      </c>
      <c r="AB40" s="264">
        <f t="shared" si="12"/>
        <v>0.94390912676814653</v>
      </c>
      <c r="AC40" s="3"/>
      <c r="AD40" s="3"/>
    </row>
    <row r="41" spans="1:30" ht="19.5" thickBot="1" x14ac:dyDescent="0.35">
      <c r="A41" s="3"/>
      <c r="B41" s="265" t="s">
        <v>75</v>
      </c>
      <c r="C41" s="266" t="s">
        <v>76</v>
      </c>
      <c r="D41" s="267">
        <f t="shared" ref="D41:AA41" si="22">D25-D40</f>
        <v>-163.37199999999939</v>
      </c>
      <c r="E41" s="267">
        <f t="shared" si="22"/>
        <v>0</v>
      </c>
      <c r="F41" s="267">
        <f t="shared" si="22"/>
        <v>455.06999999999971</v>
      </c>
      <c r="G41" s="268">
        <f t="shared" si="22"/>
        <v>291.69800000000396</v>
      </c>
      <c r="H41" s="268">
        <f t="shared" si="22"/>
        <v>276.56900000000002</v>
      </c>
      <c r="I41" s="269">
        <f>I25-I40</f>
        <v>568.2670000000071</v>
      </c>
      <c r="J41" s="267">
        <f t="shared" si="22"/>
        <v>0</v>
      </c>
      <c r="K41" s="267">
        <f t="shared" si="22"/>
        <v>0</v>
      </c>
      <c r="L41" s="267">
        <f t="shared" si="22"/>
        <v>0</v>
      </c>
      <c r="M41" s="270">
        <f t="shared" si="22"/>
        <v>0</v>
      </c>
      <c r="N41" s="270">
        <f t="shared" si="22"/>
        <v>0</v>
      </c>
      <c r="O41" s="271">
        <f t="shared" si="22"/>
        <v>0</v>
      </c>
      <c r="P41" s="267">
        <f t="shared" si="22"/>
        <v>-441.64899999999943</v>
      </c>
      <c r="Q41" s="267">
        <f t="shared" si="22"/>
        <v>1.0000000002037268E-3</v>
      </c>
      <c r="R41" s="267">
        <f t="shared" si="22"/>
        <v>224.93799999999987</v>
      </c>
      <c r="S41" s="268">
        <f t="shared" si="22"/>
        <v>-216.71000000000276</v>
      </c>
      <c r="T41" s="268">
        <f t="shared" si="22"/>
        <v>241.16499999999999</v>
      </c>
      <c r="U41" s="269">
        <f t="shared" si="22"/>
        <v>24.455000000001746</v>
      </c>
      <c r="V41" s="267">
        <f t="shared" si="22"/>
        <v>0</v>
      </c>
      <c r="W41" s="267">
        <f t="shared" si="22"/>
        <v>0</v>
      </c>
      <c r="X41" s="267">
        <f t="shared" si="22"/>
        <v>0</v>
      </c>
      <c r="Y41" s="268">
        <f t="shared" si="22"/>
        <v>0</v>
      </c>
      <c r="Z41" s="268">
        <f t="shared" si="22"/>
        <v>0</v>
      </c>
      <c r="AA41" s="269">
        <f t="shared" si="22"/>
        <v>0</v>
      </c>
      <c r="AB41" s="272" t="e">
        <f t="shared" si="12"/>
        <v>#DIV/0!</v>
      </c>
      <c r="AC41" s="3"/>
      <c r="AD41" s="3"/>
    </row>
    <row r="42" spans="1:30" ht="15.75" thickBot="1" x14ac:dyDescent="0.3">
      <c r="A42" s="3"/>
      <c r="B42" s="273" t="s">
        <v>77</v>
      </c>
      <c r="C42" s="274" t="s">
        <v>78</v>
      </c>
      <c r="D42" s="275"/>
      <c r="E42" s="276"/>
      <c r="F42" s="276"/>
      <c r="G42" s="277"/>
      <c r="H42" s="278"/>
      <c r="I42" s="279">
        <f>I41-D16</f>
        <v>-7211.7329999999929</v>
      </c>
      <c r="J42" s="275"/>
      <c r="K42" s="276"/>
      <c r="L42" s="276"/>
      <c r="M42" s="277"/>
      <c r="N42" s="280"/>
      <c r="O42" s="279">
        <f>O41-J16</f>
        <v>-8400</v>
      </c>
      <c r="P42" s="275"/>
      <c r="Q42" s="276"/>
      <c r="R42" s="276"/>
      <c r="S42" s="277"/>
      <c r="T42" s="280"/>
      <c r="U42" s="279">
        <f>U41-P16</f>
        <v>-4257.5449999999983</v>
      </c>
      <c r="V42" s="275"/>
      <c r="W42" s="276"/>
      <c r="X42" s="276"/>
      <c r="Y42" s="277"/>
      <c r="Z42" s="280"/>
      <c r="AA42" s="279">
        <f>AA41-V16</f>
        <v>-9100</v>
      </c>
      <c r="AB42" s="190">
        <f t="shared" si="12"/>
        <v>1.0833333333333333</v>
      </c>
      <c r="AC42" s="3"/>
      <c r="AD42" s="3"/>
    </row>
    <row r="43" spans="1:30" ht="8.4499999999999993" customHeight="1" thickBot="1" x14ac:dyDescent="0.3">
      <c r="A43" s="3"/>
      <c r="B43" s="281"/>
      <c r="C43" s="282"/>
      <c r="D43" s="283"/>
      <c r="E43" s="284"/>
      <c r="F43" s="284"/>
      <c r="G43" s="3"/>
      <c r="H43" s="284"/>
      <c r="I43" s="284"/>
      <c r="J43" s="283"/>
      <c r="K43" s="284"/>
      <c r="L43" s="284"/>
      <c r="M43" s="3"/>
      <c r="N43" s="284"/>
      <c r="O43" s="284"/>
      <c r="P43" s="284"/>
      <c r="Q43" s="284"/>
      <c r="R43" s="284"/>
      <c r="S43" s="284"/>
      <c r="T43" s="284"/>
      <c r="U43" s="284"/>
      <c r="V43" s="3"/>
      <c r="W43" s="3"/>
      <c r="X43" s="3"/>
      <c r="Y43" s="3"/>
      <c r="Z43" s="3"/>
      <c r="AA43" s="3"/>
      <c r="AB43" s="3"/>
      <c r="AC43" s="3"/>
      <c r="AD43" s="3"/>
    </row>
    <row r="44" spans="1:30" ht="15.75" customHeight="1" thickBot="1" x14ac:dyDescent="0.3">
      <c r="A44" s="3"/>
      <c r="B44" s="281"/>
      <c r="C44" s="641" t="s">
        <v>79</v>
      </c>
      <c r="D44" s="123" t="s">
        <v>80</v>
      </c>
      <c r="E44" s="285" t="s">
        <v>81</v>
      </c>
      <c r="F44" s="286" t="s">
        <v>82</v>
      </c>
      <c r="G44" s="284"/>
      <c r="H44" s="284"/>
      <c r="I44" s="287"/>
      <c r="J44" s="123" t="s">
        <v>80</v>
      </c>
      <c r="K44" s="285" t="s">
        <v>81</v>
      </c>
      <c r="L44" s="286" t="s">
        <v>82</v>
      </c>
      <c r="M44" s="284"/>
      <c r="N44" s="284"/>
      <c r="O44" s="284"/>
      <c r="P44" s="123" t="s">
        <v>80</v>
      </c>
      <c r="Q44" s="285" t="s">
        <v>81</v>
      </c>
      <c r="R44" s="286" t="s">
        <v>82</v>
      </c>
      <c r="S44" s="3"/>
      <c r="T44" s="3"/>
      <c r="U44" s="3"/>
      <c r="V44" s="123" t="s">
        <v>80</v>
      </c>
      <c r="W44" s="285" t="s">
        <v>81</v>
      </c>
      <c r="X44" s="286" t="s">
        <v>82</v>
      </c>
      <c r="Y44" s="3"/>
      <c r="Z44" s="3"/>
      <c r="AA44" s="3"/>
      <c r="AB44" s="3"/>
      <c r="AC44" s="3"/>
      <c r="AD44" s="3"/>
    </row>
    <row r="45" spans="1:30" ht="15.75" thickBot="1" x14ac:dyDescent="0.3">
      <c r="A45" s="3"/>
      <c r="B45" s="281"/>
      <c r="C45" s="642"/>
      <c r="D45" s="288">
        <v>890.49400000000003</v>
      </c>
      <c r="E45" s="289">
        <v>890.49400000000003</v>
      </c>
      <c r="F45" s="290">
        <v>0</v>
      </c>
      <c r="G45" s="284"/>
      <c r="H45" s="284"/>
      <c r="I45" s="287"/>
      <c r="J45" s="288">
        <v>390.5</v>
      </c>
      <c r="K45" s="289">
        <v>390.5</v>
      </c>
      <c r="L45" s="290">
        <v>0</v>
      </c>
      <c r="M45" s="291"/>
      <c r="N45" s="291"/>
      <c r="O45" s="291"/>
      <c r="P45" s="288">
        <v>101</v>
      </c>
      <c r="Q45" s="289">
        <v>101</v>
      </c>
      <c r="R45" s="290">
        <v>0</v>
      </c>
      <c r="S45" s="3"/>
      <c r="T45" s="3"/>
      <c r="U45" s="3"/>
      <c r="V45" s="288">
        <v>410.12900000000002</v>
      </c>
      <c r="W45" s="289">
        <v>410.12900000000002</v>
      </c>
      <c r="X45" s="290">
        <v>0</v>
      </c>
      <c r="Y45" s="3"/>
      <c r="Z45" s="3"/>
      <c r="AA45" s="3"/>
      <c r="AB45" s="3"/>
      <c r="AC45" s="3"/>
      <c r="AD45" s="3"/>
    </row>
    <row r="46" spans="1:30" ht="8.4499999999999993" customHeight="1" thickBot="1" x14ac:dyDescent="0.3">
      <c r="A46" s="3"/>
      <c r="B46" s="281"/>
      <c r="C46" s="282"/>
      <c r="D46" s="291"/>
      <c r="E46" s="284"/>
      <c r="F46" s="284"/>
      <c r="G46" s="284"/>
      <c r="H46" s="284"/>
      <c r="I46" s="287"/>
      <c r="J46" s="284"/>
      <c r="K46" s="284"/>
      <c r="L46" s="284"/>
      <c r="M46" s="284"/>
      <c r="N46" s="284"/>
      <c r="O46" s="287"/>
      <c r="P46" s="287"/>
      <c r="Q46" s="287"/>
      <c r="R46" s="287"/>
      <c r="S46" s="287"/>
      <c r="T46" s="287"/>
      <c r="U46" s="287"/>
      <c r="V46" s="3"/>
      <c r="W46" s="3"/>
      <c r="X46" s="3"/>
      <c r="Y46" s="3"/>
      <c r="Z46" s="3"/>
      <c r="AA46" s="3"/>
      <c r="AB46" s="3"/>
      <c r="AC46" s="3"/>
      <c r="AD46" s="3"/>
    </row>
    <row r="47" spans="1:30" ht="37.5" customHeight="1" thickBot="1" x14ac:dyDescent="0.3">
      <c r="A47" s="3"/>
      <c r="B47" s="281"/>
      <c r="C47" s="641" t="s">
        <v>83</v>
      </c>
      <c r="D47" s="131" t="s">
        <v>84</v>
      </c>
      <c r="E47" s="292" t="s">
        <v>85</v>
      </c>
      <c r="F47" s="284"/>
      <c r="G47" s="284"/>
      <c r="H47" s="284"/>
      <c r="I47" s="287"/>
      <c r="J47" s="131" t="s">
        <v>84</v>
      </c>
      <c r="K47" s="292" t="s">
        <v>85</v>
      </c>
      <c r="L47" s="293"/>
      <c r="M47" s="293"/>
      <c r="N47" s="3"/>
      <c r="O47" s="3"/>
      <c r="P47" s="131" t="s">
        <v>84</v>
      </c>
      <c r="Q47" s="292" t="s">
        <v>85</v>
      </c>
      <c r="R47" s="3"/>
      <c r="S47" s="3"/>
      <c r="T47" s="3"/>
      <c r="U47" s="3"/>
      <c r="V47" s="131" t="s">
        <v>84</v>
      </c>
      <c r="W47" s="292" t="s">
        <v>85</v>
      </c>
      <c r="X47" s="3"/>
      <c r="Y47" s="3"/>
      <c r="Z47" s="3"/>
      <c r="AA47" s="3"/>
      <c r="AB47" s="3"/>
      <c r="AC47" s="3"/>
      <c r="AD47" s="3"/>
    </row>
    <row r="48" spans="1:30" ht="15.75" thickBot="1" x14ac:dyDescent="0.3">
      <c r="A48" s="3"/>
      <c r="B48" s="294"/>
      <c r="C48" s="643"/>
      <c r="D48" s="288">
        <v>0</v>
      </c>
      <c r="E48" s="295">
        <v>0</v>
      </c>
      <c r="F48" s="284"/>
      <c r="G48" s="284"/>
      <c r="H48" s="284"/>
      <c r="I48" s="287"/>
      <c r="J48" s="288">
        <v>0</v>
      </c>
      <c r="K48" s="295">
        <v>0</v>
      </c>
      <c r="L48" s="296"/>
      <c r="M48" s="296"/>
      <c r="N48" s="3"/>
      <c r="O48" s="3"/>
      <c r="P48" s="288">
        <v>0</v>
      </c>
      <c r="Q48" s="295">
        <v>0</v>
      </c>
      <c r="R48" s="3"/>
      <c r="S48" s="3"/>
      <c r="T48" s="3"/>
      <c r="U48" s="3"/>
      <c r="V48" s="288">
        <v>0</v>
      </c>
      <c r="W48" s="295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294"/>
      <c r="C49" s="282"/>
      <c r="D49" s="284"/>
      <c r="E49" s="284"/>
      <c r="F49" s="284"/>
      <c r="G49" s="284"/>
      <c r="H49" s="284"/>
      <c r="I49" s="287"/>
      <c r="J49" s="284"/>
      <c r="K49" s="284"/>
      <c r="L49" s="284"/>
      <c r="M49" s="284"/>
      <c r="N49" s="284"/>
      <c r="O49" s="287"/>
      <c r="P49" s="287"/>
      <c r="Q49" s="287"/>
      <c r="R49" s="287"/>
      <c r="S49" s="287"/>
      <c r="T49" s="287"/>
      <c r="U49" s="287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3"/>
      <c r="B50" s="294"/>
      <c r="C50" s="297" t="s">
        <v>86</v>
      </c>
      <c r="D50" s="298" t="s">
        <v>87</v>
      </c>
      <c r="E50" s="298" t="s">
        <v>88</v>
      </c>
      <c r="F50" s="298" t="s">
        <v>89</v>
      </c>
      <c r="G50" s="298" t="s">
        <v>90</v>
      </c>
      <c r="H50" s="284"/>
      <c r="I50" s="3"/>
      <c r="J50" s="298" t="s">
        <v>87</v>
      </c>
      <c r="K50" s="298" t="s">
        <v>88</v>
      </c>
      <c r="L50" s="298" t="s">
        <v>89</v>
      </c>
      <c r="M50" s="298" t="s">
        <v>91</v>
      </c>
      <c r="N50" s="3"/>
      <c r="O50" s="3"/>
      <c r="P50" s="298" t="s">
        <v>87</v>
      </c>
      <c r="Q50" s="298" t="s">
        <v>88</v>
      </c>
      <c r="R50" s="298" t="s">
        <v>89</v>
      </c>
      <c r="S50" s="298" t="s">
        <v>11</v>
      </c>
      <c r="T50" s="3"/>
      <c r="U50" s="3"/>
      <c r="V50" s="298" t="s">
        <v>92</v>
      </c>
      <c r="W50" s="298" t="s">
        <v>88</v>
      </c>
      <c r="X50" s="298" t="s">
        <v>89</v>
      </c>
      <c r="Y50" s="298" t="s">
        <v>91</v>
      </c>
      <c r="Z50" s="3"/>
      <c r="AA50" s="3"/>
      <c r="AB50" s="3"/>
      <c r="AC50" s="3"/>
      <c r="AD50" s="3"/>
    </row>
    <row r="51" spans="1:30" x14ac:dyDescent="0.25">
      <c r="A51" s="3"/>
      <c r="B51" s="294"/>
      <c r="C51" s="299" t="s">
        <v>93</v>
      </c>
      <c r="D51" s="300">
        <f>D52+D55+D56+D57</f>
        <v>4504.75</v>
      </c>
      <c r="E51" s="300">
        <f t="shared" ref="E51:F51" si="23">E52+E55+E56+E57</f>
        <v>2069.6410000000001</v>
      </c>
      <c r="F51" s="300">
        <f t="shared" si="23"/>
        <v>4405.7710000000006</v>
      </c>
      <c r="G51" s="301">
        <f>D51+E51-F51</f>
        <v>2168.619999999999</v>
      </c>
      <c r="H51" s="284"/>
      <c r="I51" s="3"/>
      <c r="J51" s="300">
        <f>J52+J55+J56+J57</f>
        <v>1081.912</v>
      </c>
      <c r="K51" s="300">
        <f t="shared" ref="K51:M51" si="24">K52+K55+K56+K57</f>
        <v>1266</v>
      </c>
      <c r="L51" s="300">
        <f t="shared" si="24"/>
        <v>1280.5</v>
      </c>
      <c r="M51" s="300">
        <f t="shared" si="24"/>
        <v>1067.412</v>
      </c>
      <c r="N51" s="3"/>
      <c r="O51" s="3"/>
      <c r="P51" s="300">
        <f>P52+P55+P56+P57</f>
        <v>2168.6190000000001</v>
      </c>
      <c r="Q51" s="300">
        <f t="shared" ref="Q51:R51" si="25">Q52+Q55+Q56+Q57</f>
        <v>1221.165</v>
      </c>
      <c r="R51" s="300">
        <f t="shared" si="25"/>
        <v>1308.3720000000001</v>
      </c>
      <c r="S51" s="301">
        <f>P51+Q51-R51</f>
        <v>2081.4120000000003</v>
      </c>
      <c r="T51" s="3"/>
      <c r="U51" s="3"/>
      <c r="V51" s="300">
        <f>V52+V55+V56+V57</f>
        <v>2340</v>
      </c>
      <c r="W51" s="300">
        <f t="shared" ref="W51:X51" si="26">W52+W55+W56+W57</f>
        <v>1046.8879999999999</v>
      </c>
      <c r="X51" s="300">
        <f t="shared" si="26"/>
        <v>2160.1289999999999</v>
      </c>
      <c r="Y51" s="301">
        <f>V51+W51-X51</f>
        <v>1226.759</v>
      </c>
      <c r="Z51" s="3"/>
      <c r="AA51" s="3"/>
      <c r="AB51" s="3"/>
      <c r="AC51" s="3"/>
      <c r="AD51" s="3"/>
    </row>
    <row r="52" spans="1:30" x14ac:dyDescent="0.25">
      <c r="A52" s="3"/>
      <c r="B52" s="294"/>
      <c r="C52" s="299" t="s">
        <v>94</v>
      </c>
      <c r="D52" s="300">
        <v>3203.1669999999999</v>
      </c>
      <c r="E52" s="300">
        <v>985.20699999999999</v>
      </c>
      <c r="F52" s="300">
        <v>2860.8009999999999</v>
      </c>
      <c r="G52" s="301">
        <f t="shared" ref="G52:G57" si="27">D52+E52-F52</f>
        <v>1327.5729999999999</v>
      </c>
      <c r="H52" s="284"/>
      <c r="I52" s="3"/>
      <c r="J52" s="300">
        <v>628.4</v>
      </c>
      <c r="K52" s="300">
        <v>250</v>
      </c>
      <c r="L52" s="300">
        <v>250</v>
      </c>
      <c r="M52" s="301">
        <f t="shared" ref="M52:M57" si="28">J52+K52-L52</f>
        <v>628.4</v>
      </c>
      <c r="N52" s="3"/>
      <c r="O52" s="3"/>
      <c r="P52" s="300">
        <v>1327.5730000000001</v>
      </c>
      <c r="Q52" s="300">
        <v>742.072</v>
      </c>
      <c r="R52" s="300">
        <v>736.30100000000004</v>
      </c>
      <c r="S52" s="301">
        <f t="shared" ref="S52:S57" si="29">P52+Q52-R52</f>
        <v>1333.3440000000001</v>
      </c>
      <c r="T52" s="3"/>
      <c r="U52" s="3"/>
      <c r="V52" s="300">
        <v>1910</v>
      </c>
      <c r="W52" s="300">
        <v>50</v>
      </c>
      <c r="X52" s="300">
        <v>1050</v>
      </c>
      <c r="Y52" s="301">
        <f t="shared" ref="Y52:Y57" si="30">V52+W52-X52</f>
        <v>910</v>
      </c>
      <c r="Z52" s="3"/>
      <c r="AA52" s="3"/>
      <c r="AB52" s="3"/>
      <c r="AC52" s="3"/>
      <c r="AD52" s="3"/>
    </row>
    <row r="53" spans="1:30" x14ac:dyDescent="0.25">
      <c r="A53" s="3"/>
      <c r="B53" s="294"/>
      <c r="C53" s="475" t="s">
        <v>331</v>
      </c>
      <c r="D53" s="205">
        <v>814.79100000000005</v>
      </c>
      <c r="E53" s="205">
        <v>532.17700000000002</v>
      </c>
      <c r="F53" s="205">
        <v>814.79100000000005</v>
      </c>
      <c r="G53" s="476">
        <v>532.17700000000002</v>
      </c>
      <c r="H53" s="284"/>
      <c r="I53" s="3"/>
      <c r="J53" s="573">
        <v>0</v>
      </c>
      <c r="K53" s="573">
        <v>0</v>
      </c>
      <c r="L53" s="573">
        <v>0</v>
      </c>
      <c r="M53" s="574">
        <f t="shared" si="28"/>
        <v>0</v>
      </c>
      <c r="N53" s="3"/>
      <c r="O53" s="3"/>
      <c r="P53" s="205">
        <v>532.17700000000002</v>
      </c>
      <c r="Q53" s="205">
        <v>0</v>
      </c>
      <c r="R53" s="205">
        <v>532.17700000000002</v>
      </c>
      <c r="S53" s="476">
        <f t="shared" si="29"/>
        <v>0</v>
      </c>
      <c r="T53" s="3"/>
      <c r="U53" s="3"/>
      <c r="V53" s="205">
        <v>0</v>
      </c>
      <c r="W53" s="205">
        <v>0</v>
      </c>
      <c r="X53" s="205">
        <v>0</v>
      </c>
      <c r="Y53" s="476">
        <f t="shared" si="30"/>
        <v>0</v>
      </c>
      <c r="Z53" s="3"/>
      <c r="AA53" s="3"/>
      <c r="AB53" s="3"/>
      <c r="AC53" s="3"/>
      <c r="AD53" s="3"/>
    </row>
    <row r="54" spans="1:30" x14ac:dyDescent="0.25">
      <c r="A54" s="3"/>
      <c r="B54" s="294"/>
      <c r="C54" s="475" t="s">
        <v>332</v>
      </c>
      <c r="D54" s="205">
        <v>1787.3610000000001</v>
      </c>
      <c r="E54" s="205">
        <v>0</v>
      </c>
      <c r="F54" s="205">
        <v>1787.3610000000001</v>
      </c>
      <c r="G54" s="476">
        <v>0</v>
      </c>
      <c r="H54" s="284"/>
      <c r="I54" s="3"/>
      <c r="J54" s="573">
        <v>0</v>
      </c>
      <c r="K54" s="573">
        <v>0</v>
      </c>
      <c r="L54" s="573">
        <v>0</v>
      </c>
      <c r="M54" s="574">
        <f t="shared" si="28"/>
        <v>0</v>
      </c>
      <c r="N54" s="3"/>
      <c r="O54" s="3"/>
      <c r="P54" s="205">
        <v>0</v>
      </c>
      <c r="Q54" s="205">
        <v>0</v>
      </c>
      <c r="R54" s="205">
        <v>0</v>
      </c>
      <c r="S54" s="476">
        <f t="shared" si="29"/>
        <v>0</v>
      </c>
      <c r="T54" s="3"/>
      <c r="U54" s="3"/>
      <c r="V54" s="205">
        <v>800</v>
      </c>
      <c r="W54" s="205">
        <v>0</v>
      </c>
      <c r="X54" s="205">
        <v>800</v>
      </c>
      <c r="Y54" s="476">
        <f t="shared" si="30"/>
        <v>0</v>
      </c>
      <c r="Z54" s="3"/>
      <c r="AA54" s="3"/>
      <c r="AB54" s="3"/>
      <c r="AC54" s="3"/>
      <c r="AD54" s="3"/>
    </row>
    <row r="55" spans="1:30" x14ac:dyDescent="0.25">
      <c r="A55" s="3"/>
      <c r="B55" s="294"/>
      <c r="C55" s="299" t="s">
        <v>95</v>
      </c>
      <c r="D55" s="300">
        <v>650.74099999999999</v>
      </c>
      <c r="E55" s="300">
        <v>669.875</v>
      </c>
      <c r="F55" s="300">
        <v>890.49400000000003</v>
      </c>
      <c r="G55" s="301">
        <f t="shared" si="27"/>
        <v>430.12199999999996</v>
      </c>
      <c r="H55" s="284"/>
      <c r="I55" s="3"/>
      <c r="J55" s="300">
        <v>150</v>
      </c>
      <c r="K55" s="300">
        <v>676</v>
      </c>
      <c r="L55" s="300">
        <v>590.5</v>
      </c>
      <c r="M55" s="301">
        <f t="shared" si="28"/>
        <v>235.5</v>
      </c>
      <c r="N55" s="3"/>
      <c r="O55" s="3"/>
      <c r="P55" s="300">
        <v>430.12099999999998</v>
      </c>
      <c r="Q55" s="300">
        <v>306.09100000000001</v>
      </c>
      <c r="R55" s="300">
        <v>371.137</v>
      </c>
      <c r="S55" s="301">
        <f t="shared" si="29"/>
        <v>365.07499999999999</v>
      </c>
      <c r="T55" s="3"/>
      <c r="U55" s="3"/>
      <c r="V55" s="300">
        <v>210</v>
      </c>
      <c r="W55" s="300">
        <v>656.88800000000003</v>
      </c>
      <c r="X55" s="300">
        <v>680.12900000000002</v>
      </c>
      <c r="Y55" s="301">
        <f t="shared" si="30"/>
        <v>186.75900000000001</v>
      </c>
      <c r="Z55" s="3"/>
      <c r="AA55" s="3"/>
      <c r="AB55" s="3"/>
      <c r="AC55" s="3"/>
      <c r="AD55" s="3"/>
    </row>
    <row r="56" spans="1:30" x14ac:dyDescent="0.25">
      <c r="A56" s="3"/>
      <c r="B56" s="294"/>
      <c r="C56" s="299" t="s">
        <v>96</v>
      </c>
      <c r="D56" s="300">
        <v>93.512</v>
      </c>
      <c r="E56" s="300">
        <v>60</v>
      </c>
      <c r="F56" s="300">
        <v>41.323999999999998</v>
      </c>
      <c r="G56" s="301">
        <f t="shared" si="27"/>
        <v>112.188</v>
      </c>
      <c r="H56" s="284"/>
      <c r="I56" s="3"/>
      <c r="J56" s="300">
        <v>53.512</v>
      </c>
      <c r="K56" s="300">
        <v>20</v>
      </c>
      <c r="L56" s="300">
        <v>30</v>
      </c>
      <c r="M56" s="301">
        <f t="shared" si="28"/>
        <v>43.512</v>
      </c>
      <c r="N56" s="3"/>
      <c r="O56" s="3"/>
      <c r="P56" s="300">
        <v>112.188</v>
      </c>
      <c r="Q56" s="300"/>
      <c r="R56" s="300"/>
      <c r="S56" s="301">
        <f t="shared" si="29"/>
        <v>112.188</v>
      </c>
      <c r="T56" s="3"/>
      <c r="U56" s="3"/>
      <c r="V56" s="300">
        <v>40</v>
      </c>
      <c r="W56" s="300">
        <v>0</v>
      </c>
      <c r="X56" s="300">
        <v>10</v>
      </c>
      <c r="Y56" s="301">
        <f t="shared" si="30"/>
        <v>30</v>
      </c>
      <c r="Z56" s="3"/>
      <c r="AA56" s="3"/>
      <c r="AB56" s="3"/>
      <c r="AC56" s="3"/>
      <c r="AD56" s="3"/>
    </row>
    <row r="57" spans="1:30" x14ac:dyDescent="0.25">
      <c r="A57" s="3"/>
      <c r="B57" s="294"/>
      <c r="C57" s="302" t="s">
        <v>97</v>
      </c>
      <c r="D57" s="300">
        <v>557.33000000000004</v>
      </c>
      <c r="E57" s="300">
        <v>354.55900000000003</v>
      </c>
      <c r="F57" s="300">
        <v>613.15200000000004</v>
      </c>
      <c r="G57" s="301">
        <f t="shared" si="27"/>
        <v>298.73700000000008</v>
      </c>
      <c r="H57" s="284"/>
      <c r="I57" s="3"/>
      <c r="J57" s="300">
        <v>250</v>
      </c>
      <c r="K57" s="300">
        <v>320</v>
      </c>
      <c r="L57" s="300">
        <v>410</v>
      </c>
      <c r="M57" s="301">
        <f t="shared" si="28"/>
        <v>160</v>
      </c>
      <c r="N57" s="3"/>
      <c r="O57" s="3"/>
      <c r="P57" s="300">
        <v>298.73700000000002</v>
      </c>
      <c r="Q57" s="300">
        <v>173.00200000000001</v>
      </c>
      <c r="R57" s="300">
        <v>200.934</v>
      </c>
      <c r="S57" s="301">
        <f t="shared" si="29"/>
        <v>270.80500000000006</v>
      </c>
      <c r="T57" s="3"/>
      <c r="U57" s="3"/>
      <c r="V57" s="300">
        <v>180</v>
      </c>
      <c r="W57" s="300">
        <v>340</v>
      </c>
      <c r="X57" s="300">
        <v>420</v>
      </c>
      <c r="Y57" s="301">
        <f t="shared" si="30"/>
        <v>100</v>
      </c>
      <c r="Z57" s="3"/>
      <c r="AA57" s="3"/>
      <c r="AB57" s="3"/>
      <c r="AC57" s="3"/>
      <c r="AD57" s="3"/>
    </row>
    <row r="58" spans="1:30" ht="10.5" customHeight="1" x14ac:dyDescent="0.25">
      <c r="A58" s="3"/>
      <c r="B58" s="294"/>
      <c r="C58" s="282"/>
      <c r="D58" s="284"/>
      <c r="E58" s="284"/>
      <c r="F58" s="284"/>
      <c r="G58" s="284"/>
      <c r="H58" s="28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3"/>
      <c r="B59" s="294"/>
      <c r="C59" s="297" t="s">
        <v>98</v>
      </c>
      <c r="D59" s="298" t="s">
        <v>99</v>
      </c>
      <c r="E59" s="298" t="s">
        <v>100</v>
      </c>
      <c r="F59" s="284"/>
      <c r="G59" s="284"/>
      <c r="H59" s="284"/>
      <c r="I59" s="287"/>
      <c r="J59" s="298" t="s">
        <v>101</v>
      </c>
      <c r="K59" s="284"/>
      <c r="L59" s="284"/>
      <c r="M59" s="284"/>
      <c r="N59" s="284"/>
      <c r="O59" s="287"/>
      <c r="P59" s="298" t="s">
        <v>102</v>
      </c>
      <c r="Q59" s="287"/>
      <c r="R59" s="287"/>
      <c r="S59" s="3"/>
      <c r="T59" s="3"/>
      <c r="U59" s="3"/>
      <c r="V59" s="737" t="s">
        <v>98</v>
      </c>
      <c r="W59" s="737"/>
      <c r="X59" s="737"/>
      <c r="Y59" s="298" t="s">
        <v>101</v>
      </c>
      <c r="Z59" s="3"/>
      <c r="AA59" s="3"/>
      <c r="AB59" s="3"/>
      <c r="AC59" s="3"/>
      <c r="AD59" s="3"/>
    </row>
    <row r="60" spans="1:30" x14ac:dyDescent="0.25">
      <c r="A60" s="3"/>
      <c r="B60" s="294"/>
      <c r="C60" s="467" t="s">
        <v>128</v>
      </c>
      <c r="D60" s="468">
        <v>70.06</v>
      </c>
      <c r="E60" s="468">
        <v>70.12</v>
      </c>
      <c r="F60" s="284"/>
      <c r="G60" s="284"/>
      <c r="H60" s="284"/>
      <c r="I60" s="287"/>
      <c r="J60" s="303">
        <v>71</v>
      </c>
      <c r="K60" s="284"/>
      <c r="L60" s="284"/>
      <c r="M60" s="284"/>
      <c r="N60" s="284"/>
      <c r="O60" s="287"/>
      <c r="P60" s="303">
        <v>68.64</v>
      </c>
      <c r="Q60" s="287"/>
      <c r="R60" s="287"/>
      <c r="S60" s="3"/>
      <c r="T60" s="3"/>
      <c r="U60" s="3"/>
      <c r="V60" s="728" t="s">
        <v>128</v>
      </c>
      <c r="W60" s="728"/>
      <c r="X60" s="728"/>
      <c r="Y60" s="303">
        <v>71</v>
      </c>
      <c r="Z60" s="3"/>
      <c r="AA60" s="3"/>
      <c r="AB60" s="3"/>
      <c r="AC60" s="3"/>
      <c r="AD60" s="3"/>
    </row>
    <row r="61" spans="1:30" x14ac:dyDescent="0.25">
      <c r="A61" s="3"/>
      <c r="B61" s="294"/>
      <c r="C61" s="469"/>
      <c r="D61" s="470"/>
      <c r="E61" s="470"/>
      <c r="F61" s="284"/>
      <c r="G61" s="284"/>
      <c r="H61" s="284"/>
      <c r="I61" s="287"/>
      <c r="J61" s="291"/>
      <c r="K61" s="284"/>
      <c r="L61" s="284"/>
      <c r="M61" s="284"/>
      <c r="N61" s="284"/>
      <c r="O61" s="287"/>
      <c r="P61" s="291"/>
      <c r="Q61" s="287"/>
      <c r="R61" s="287"/>
      <c r="S61" s="3"/>
      <c r="T61" s="3"/>
      <c r="U61" s="3"/>
      <c r="V61" s="728" t="s">
        <v>129</v>
      </c>
      <c r="W61" s="728"/>
      <c r="X61" s="728"/>
      <c r="Y61" s="303">
        <v>13</v>
      </c>
      <c r="Z61" s="3"/>
      <c r="AA61" s="3"/>
      <c r="AB61" s="3"/>
      <c r="AC61" s="3"/>
      <c r="AD61" s="3"/>
    </row>
    <row r="62" spans="1:30" x14ac:dyDescent="0.25">
      <c r="A62" s="3"/>
      <c r="B62" s="294"/>
      <c r="C62" s="469"/>
      <c r="D62" s="470"/>
      <c r="E62" s="470"/>
      <c r="F62" s="284"/>
      <c r="G62" s="284"/>
      <c r="H62" s="284"/>
      <c r="I62" s="287"/>
      <c r="J62" s="291"/>
      <c r="K62" s="284"/>
      <c r="L62" s="284"/>
      <c r="M62" s="284"/>
      <c r="N62" s="284"/>
      <c r="O62" s="287"/>
      <c r="P62" s="291"/>
      <c r="Q62" s="287"/>
      <c r="R62" s="287"/>
      <c r="S62" s="3"/>
      <c r="T62" s="3"/>
      <c r="U62" s="3"/>
      <c r="V62" s="728" t="s">
        <v>333</v>
      </c>
      <c r="W62" s="728"/>
      <c r="X62" s="728"/>
      <c r="Y62" s="303">
        <v>2</v>
      </c>
      <c r="Z62" s="3"/>
      <c r="AA62" s="3"/>
      <c r="AB62" s="3"/>
      <c r="AC62" s="3"/>
      <c r="AD62" s="3"/>
    </row>
    <row r="63" spans="1:30" s="3" customFormat="1" x14ac:dyDescent="0.25">
      <c r="B63" s="294"/>
      <c r="C63" s="282"/>
      <c r="D63" s="291"/>
      <c r="E63" s="291"/>
      <c r="F63" s="284"/>
      <c r="G63" s="284"/>
      <c r="H63" s="284"/>
      <c r="I63" s="287"/>
      <c r="J63" s="291"/>
      <c r="K63" s="284"/>
      <c r="L63" s="284"/>
      <c r="M63" s="284"/>
      <c r="N63" s="284"/>
      <c r="O63" s="287"/>
      <c r="P63" s="291"/>
      <c r="Q63" s="287"/>
      <c r="R63" s="287"/>
      <c r="S63" s="287"/>
      <c r="T63" s="287"/>
      <c r="U63" s="287"/>
      <c r="V63" s="291"/>
    </row>
    <row r="64" spans="1:30" x14ac:dyDescent="0.25">
      <c r="A64" s="3"/>
      <c r="B64" s="294"/>
      <c r="C64" s="282"/>
      <c r="D64" s="729"/>
      <c r="E64" s="729"/>
      <c r="F64" s="284"/>
      <c r="G64" s="284"/>
      <c r="H64" s="284"/>
      <c r="I64" s="287"/>
      <c r="J64" s="471"/>
      <c r="K64" s="284"/>
      <c r="L64" s="284"/>
      <c r="M64" s="284"/>
      <c r="N64" s="284"/>
      <c r="O64" s="287"/>
      <c r="P64" s="471"/>
      <c r="Q64" s="287"/>
      <c r="R64" s="287"/>
      <c r="S64" s="287"/>
      <c r="T64" s="287"/>
      <c r="U64" s="287"/>
      <c r="V64" s="700" t="s">
        <v>130</v>
      </c>
      <c r="W64" s="701"/>
      <c r="X64" s="702"/>
      <c r="Y64" s="303">
        <v>5332.116</v>
      </c>
      <c r="Z64" s="3"/>
      <c r="AA64" s="3"/>
      <c r="AB64" s="3"/>
      <c r="AC64" s="3"/>
      <c r="AD64" s="3"/>
    </row>
    <row r="65" spans="1:30" x14ac:dyDescent="0.25">
      <c r="A65" s="3"/>
      <c r="B65" s="294"/>
      <c r="C65" s="282"/>
      <c r="D65" s="471"/>
      <c r="E65" s="471"/>
      <c r="F65" s="284"/>
      <c r="G65" s="284"/>
      <c r="H65" s="284"/>
      <c r="I65" s="287"/>
      <c r="J65" s="471"/>
      <c r="K65" s="284"/>
      <c r="L65" s="284"/>
      <c r="M65" s="284"/>
      <c r="N65" s="284"/>
      <c r="O65" s="287"/>
      <c r="P65" s="471"/>
      <c r="Q65" s="287"/>
      <c r="R65" s="287"/>
      <c r="S65" s="287"/>
      <c r="T65" s="287"/>
      <c r="U65" s="287"/>
      <c r="V65" s="700" t="s">
        <v>334</v>
      </c>
      <c r="W65" s="701"/>
      <c r="X65" s="702"/>
      <c r="Y65" s="303">
        <v>1039.2</v>
      </c>
      <c r="Z65" s="3"/>
      <c r="AA65" s="3"/>
      <c r="AB65" s="3"/>
      <c r="AC65" s="3"/>
      <c r="AD65" s="3"/>
    </row>
    <row r="66" spans="1:30" x14ac:dyDescent="0.25">
      <c r="A66" s="3"/>
      <c r="B66" s="294"/>
      <c r="C66" s="282"/>
      <c r="D66" s="471"/>
      <c r="E66" s="471"/>
      <c r="F66" s="284"/>
      <c r="G66" s="284"/>
      <c r="H66" s="284"/>
      <c r="I66" s="287"/>
      <c r="J66" s="471"/>
      <c r="K66" s="284"/>
      <c r="L66" s="284"/>
      <c r="M66" s="284"/>
      <c r="N66" s="284"/>
      <c r="O66" s="287"/>
      <c r="P66" s="471"/>
      <c r="Q66" s="287"/>
      <c r="R66" s="287"/>
      <c r="S66" s="287"/>
      <c r="T66" s="287"/>
      <c r="U66" s="287"/>
      <c r="V66" s="700" t="s">
        <v>335</v>
      </c>
      <c r="W66" s="701"/>
      <c r="X66" s="702"/>
      <c r="Y66" s="303">
        <f>SUM(Y64:Y65)</f>
        <v>6371.3159999999998</v>
      </c>
      <c r="Z66" s="3"/>
      <c r="AA66" s="3"/>
      <c r="AB66" s="3"/>
      <c r="AC66" s="3"/>
      <c r="AD66" s="3"/>
    </row>
    <row r="67" spans="1:30" s="3" customFormat="1" x14ac:dyDescent="0.25">
      <c r="B67" s="294"/>
      <c r="C67" s="282"/>
      <c r="D67" s="471"/>
      <c r="E67" s="471"/>
      <c r="F67" s="284"/>
      <c r="G67" s="284"/>
      <c r="H67" s="284"/>
      <c r="I67" s="287"/>
      <c r="J67" s="471"/>
      <c r="K67" s="284"/>
      <c r="L67" s="284"/>
      <c r="M67" s="284"/>
      <c r="N67" s="284"/>
      <c r="O67" s="287"/>
      <c r="P67" s="471"/>
      <c r="Q67" s="287"/>
      <c r="R67" s="287"/>
      <c r="S67" s="287"/>
      <c r="T67" s="287"/>
      <c r="U67" s="287"/>
      <c r="V67" s="291"/>
    </row>
    <row r="68" spans="1:30" x14ac:dyDescent="0.25">
      <c r="A68" s="3"/>
      <c r="B68" s="294"/>
      <c r="C68" s="3"/>
      <c r="D68" s="3"/>
      <c r="E68" s="3"/>
      <c r="F68" s="283"/>
      <c r="G68" s="284"/>
      <c r="H68" s="284"/>
      <c r="I68" s="287"/>
      <c r="J68" s="471"/>
      <c r="K68" s="471"/>
      <c r="L68" s="3"/>
      <c r="M68" s="172"/>
      <c r="N68" s="3"/>
      <c r="O68" s="3"/>
      <c r="P68" s="3"/>
      <c r="Q68" s="283"/>
      <c r="R68" s="3"/>
      <c r="S68" s="3"/>
      <c r="T68" s="3"/>
      <c r="U68" s="736" t="s">
        <v>131</v>
      </c>
      <c r="V68" s="736"/>
      <c r="W68" s="736"/>
      <c r="X68" s="736"/>
      <c r="Y68" s="474" t="s">
        <v>132</v>
      </c>
      <c r="Z68" s="3"/>
      <c r="AA68" s="378" t="s">
        <v>133</v>
      </c>
      <c r="AB68" s="379"/>
      <c r="AC68" s="3"/>
    </row>
    <row r="69" spans="1:30" x14ac:dyDescent="0.25">
      <c r="A69" s="3"/>
      <c r="B69" s="294"/>
      <c r="C69" s="3"/>
      <c r="D69" s="3"/>
      <c r="E69" s="3"/>
      <c r="F69" s="284"/>
      <c r="G69" s="284"/>
      <c r="H69" s="284"/>
      <c r="I69" s="287"/>
      <c r="J69" s="471"/>
      <c r="K69" s="471"/>
      <c r="L69" s="3"/>
      <c r="M69" s="172"/>
      <c r="N69" s="3"/>
      <c r="O69" s="3"/>
      <c r="P69" s="3"/>
      <c r="Q69" s="284"/>
      <c r="R69" s="3"/>
      <c r="S69" s="3"/>
      <c r="T69" s="3"/>
      <c r="U69" s="728" t="s">
        <v>134</v>
      </c>
      <c r="V69" s="728"/>
      <c r="W69" s="728"/>
      <c r="X69" s="728"/>
      <c r="Y69" s="380">
        <v>5332.116</v>
      </c>
      <c r="Z69" s="3"/>
      <c r="AA69" s="475" t="s">
        <v>135</v>
      </c>
      <c r="AB69" s="476">
        <v>480.96</v>
      </c>
      <c r="AC69" s="3"/>
    </row>
    <row r="70" spans="1:30" x14ac:dyDescent="0.25">
      <c r="A70" s="3"/>
      <c r="B70" s="294"/>
      <c r="C70" s="3"/>
      <c r="D70" s="3"/>
      <c r="E70" s="3"/>
      <c r="F70" s="284"/>
      <c r="G70" s="284"/>
      <c r="H70" s="284"/>
      <c r="I70" s="287"/>
      <c r="J70" s="471"/>
      <c r="K70" s="471"/>
      <c r="L70" s="3"/>
      <c r="M70" s="172"/>
      <c r="N70" s="3"/>
      <c r="O70" s="3"/>
      <c r="P70" s="3"/>
      <c r="Q70" s="284"/>
      <c r="R70" s="3"/>
      <c r="S70" s="3"/>
      <c r="T70" s="3"/>
      <c r="U70" s="728" t="s">
        <v>136</v>
      </c>
      <c r="V70" s="728"/>
      <c r="W70" s="728"/>
      <c r="X70" s="728"/>
      <c r="Y70" s="380">
        <v>1959.0070000000001</v>
      </c>
      <c r="Z70" s="3"/>
      <c r="AA70" s="475" t="s">
        <v>137</v>
      </c>
      <c r="AB70" s="476">
        <v>84</v>
      </c>
      <c r="AC70" s="3"/>
    </row>
    <row r="71" spans="1:30" x14ac:dyDescent="0.25">
      <c r="A71" s="3"/>
      <c r="B71" s="294"/>
      <c r="C71" s="3"/>
      <c r="D71" s="3"/>
      <c r="E71" s="3"/>
      <c r="F71" s="284"/>
      <c r="G71" s="284"/>
      <c r="H71" s="284"/>
      <c r="I71" s="287"/>
      <c r="J71" s="471"/>
      <c r="K71" s="471"/>
      <c r="L71" s="3"/>
      <c r="M71" s="172"/>
      <c r="N71" s="3"/>
      <c r="O71" s="3"/>
      <c r="P71" s="3"/>
      <c r="Q71" s="284"/>
      <c r="R71" s="3"/>
      <c r="S71" s="3"/>
      <c r="T71" s="3"/>
      <c r="U71" s="728" t="s">
        <v>230</v>
      </c>
      <c r="V71" s="728"/>
      <c r="W71" s="728"/>
      <c r="X71" s="728"/>
      <c r="Y71" s="380">
        <v>0</v>
      </c>
      <c r="Z71" s="3"/>
      <c r="AA71" s="475" t="s">
        <v>139</v>
      </c>
      <c r="AB71" s="476">
        <v>711.27599999999995</v>
      </c>
      <c r="AC71" s="3"/>
    </row>
    <row r="72" spans="1:30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172"/>
      <c r="N72" s="3"/>
      <c r="O72" s="3"/>
      <c r="P72" s="3"/>
      <c r="Q72" s="3"/>
      <c r="R72" s="3"/>
      <c r="S72" s="3"/>
      <c r="T72" s="3"/>
      <c r="U72" s="728" t="s">
        <v>140</v>
      </c>
      <c r="V72" s="728"/>
      <c r="W72" s="728"/>
      <c r="X72" s="728"/>
      <c r="Y72" s="380">
        <v>53.320999999999998</v>
      </c>
      <c r="Z72" s="3"/>
      <c r="AA72" s="3"/>
      <c r="AB72" s="3"/>
      <c r="AC72" s="3"/>
    </row>
    <row r="73" spans="1:30" x14ac:dyDescent="0.25">
      <c r="A73" s="3"/>
      <c r="B73" s="294"/>
      <c r="C73" s="3"/>
      <c r="D73" s="3"/>
      <c r="E73" s="3"/>
      <c r="F73" s="284"/>
      <c r="G73" s="284"/>
      <c r="H73" s="284"/>
      <c r="I73" s="287"/>
      <c r="J73" s="296"/>
      <c r="K73" s="296"/>
      <c r="L73" s="3"/>
      <c r="M73" s="172"/>
      <c r="N73" s="3"/>
      <c r="O73" s="3"/>
      <c r="P73" s="3"/>
      <c r="Q73" s="284"/>
      <c r="R73" s="3"/>
      <c r="S73" s="3"/>
      <c r="T73" s="3"/>
      <c r="U73" s="728" t="s">
        <v>141</v>
      </c>
      <c r="V73" s="728"/>
      <c r="W73" s="728"/>
      <c r="X73" s="728"/>
      <c r="Y73" s="477">
        <f>SUM(Y74:Y77)</f>
        <v>699</v>
      </c>
      <c r="Z73" s="3"/>
      <c r="AA73" s="3"/>
      <c r="AB73" s="3"/>
      <c r="AC73" s="3"/>
    </row>
    <row r="74" spans="1:30" x14ac:dyDescent="0.25">
      <c r="A74" s="3"/>
      <c r="B74" s="294"/>
      <c r="C74" s="3"/>
      <c r="D74" s="3"/>
      <c r="E74" s="3"/>
      <c r="F74" s="284"/>
      <c r="G74" s="284"/>
      <c r="H74" s="284"/>
      <c r="I74" s="287"/>
      <c r="J74" s="471"/>
      <c r="K74" s="471"/>
      <c r="L74" s="3"/>
      <c r="M74" s="172"/>
      <c r="N74" s="3"/>
      <c r="O74" s="3"/>
      <c r="P74" s="3"/>
      <c r="Q74" s="284"/>
      <c r="R74" s="3"/>
      <c r="S74" s="3"/>
      <c r="T74" s="3"/>
      <c r="U74" s="727" t="s">
        <v>142</v>
      </c>
      <c r="V74" s="727"/>
      <c r="W74" s="727"/>
      <c r="X74" s="727"/>
      <c r="Y74" s="380">
        <v>350</v>
      </c>
      <c r="Z74" s="3"/>
      <c r="AA74" s="3"/>
      <c r="AB74" s="3"/>
      <c r="AC74" s="3"/>
    </row>
    <row r="75" spans="1:30" x14ac:dyDescent="0.25">
      <c r="A75" s="3"/>
      <c r="B75" s="294"/>
      <c r="C75" s="3"/>
      <c r="D75" s="3"/>
      <c r="E75" s="3"/>
      <c r="F75" s="284"/>
      <c r="G75" s="284"/>
      <c r="H75" s="284"/>
      <c r="I75" s="287"/>
      <c r="J75" s="471"/>
      <c r="K75" s="471"/>
      <c r="L75" s="3"/>
      <c r="M75" s="172"/>
      <c r="N75" s="3"/>
      <c r="O75" s="3"/>
      <c r="P75" s="3"/>
      <c r="Q75" s="284"/>
      <c r="R75" s="3"/>
      <c r="S75" s="3"/>
      <c r="T75" s="3"/>
      <c r="U75" s="727" t="s">
        <v>143</v>
      </c>
      <c r="V75" s="727"/>
      <c r="W75" s="727"/>
      <c r="X75" s="727"/>
      <c r="Y75" s="380">
        <v>110</v>
      </c>
      <c r="Z75" s="3"/>
      <c r="AA75" s="3"/>
      <c r="AB75" s="3"/>
      <c r="AC75" s="3"/>
    </row>
    <row r="76" spans="1:30" x14ac:dyDescent="0.25">
      <c r="A76" s="3"/>
      <c r="B76" s="294"/>
      <c r="C76" s="3"/>
      <c r="D76" s="3"/>
      <c r="E76" s="3"/>
      <c r="F76" s="284"/>
      <c r="G76" s="284"/>
      <c r="H76" s="284"/>
      <c r="I76" s="287"/>
      <c r="J76" s="471"/>
      <c r="K76" s="471"/>
      <c r="L76" s="3"/>
      <c r="M76" s="172"/>
      <c r="N76" s="3"/>
      <c r="O76" s="3"/>
      <c r="P76" s="3"/>
      <c r="Q76" s="284"/>
      <c r="R76" s="3"/>
      <c r="S76" s="3"/>
      <c r="T76" s="3"/>
      <c r="U76" s="727" t="s">
        <v>144</v>
      </c>
      <c r="V76" s="727"/>
      <c r="W76" s="727"/>
      <c r="X76" s="727"/>
      <c r="Y76" s="380">
        <v>39</v>
      </c>
      <c r="Z76" s="3"/>
      <c r="AA76" s="3"/>
      <c r="AB76" s="3"/>
      <c r="AC76" s="3"/>
    </row>
    <row r="77" spans="1:30" x14ac:dyDescent="0.25">
      <c r="A77" s="3"/>
      <c r="B77" s="294"/>
      <c r="C77" s="3"/>
      <c r="D77" s="3"/>
      <c r="E77" s="3"/>
      <c r="F77" s="284"/>
      <c r="G77" s="284"/>
      <c r="H77" s="284"/>
      <c r="I77" s="287"/>
      <c r="J77" s="471"/>
      <c r="K77" s="471"/>
      <c r="L77" s="3"/>
      <c r="M77" s="172"/>
      <c r="N77" s="3"/>
      <c r="O77" s="3"/>
      <c r="P77" s="3"/>
      <c r="Q77" s="284"/>
      <c r="R77" s="3"/>
      <c r="S77" s="3"/>
      <c r="T77" s="3"/>
      <c r="U77" s="727" t="s">
        <v>145</v>
      </c>
      <c r="V77" s="727"/>
      <c r="W77" s="727"/>
      <c r="X77" s="727"/>
      <c r="Y77" s="380">
        <v>200</v>
      </c>
      <c r="Z77" s="3"/>
      <c r="AA77" s="3"/>
      <c r="AB77" s="3"/>
      <c r="AC77" s="3"/>
    </row>
    <row r="78" spans="1:30" x14ac:dyDescent="0.25">
      <c r="A78" s="3"/>
      <c r="B78" s="294"/>
      <c r="C78" s="478"/>
      <c r="D78" s="284"/>
      <c r="E78" s="284"/>
      <c r="F78" s="284"/>
      <c r="G78" s="284"/>
      <c r="H78" s="284"/>
      <c r="I78" s="287"/>
      <c r="J78" s="284"/>
      <c r="K78" s="284"/>
      <c r="L78" s="3"/>
      <c r="M78" s="172"/>
      <c r="N78" s="3"/>
      <c r="O78" s="3"/>
      <c r="P78" s="3"/>
      <c r="Q78" s="384"/>
      <c r="R78" s="3"/>
      <c r="S78" s="3"/>
      <c r="T78" s="3"/>
      <c r="U78" s="287"/>
      <c r="V78" s="287"/>
      <c r="W78" s="287"/>
      <c r="X78" s="284"/>
      <c r="Y78" s="284">
        <f>SUM(Y69:Y73)</f>
        <v>8043.4439999999995</v>
      </c>
      <c r="Z78" s="3"/>
      <c r="AA78" s="3"/>
      <c r="AB78" s="3"/>
      <c r="AC78" s="3"/>
    </row>
    <row r="79" spans="1:30" x14ac:dyDescent="0.25">
      <c r="A79" s="3"/>
      <c r="B79" s="294"/>
      <c r="C79" s="282"/>
      <c r="D79" s="284"/>
      <c r="E79" s="284"/>
      <c r="F79" s="284"/>
      <c r="G79" s="284"/>
      <c r="H79" s="284"/>
      <c r="I79" s="287"/>
      <c r="J79" s="284"/>
      <c r="K79" s="284"/>
      <c r="L79" s="284"/>
      <c r="M79" s="284"/>
      <c r="N79" s="284"/>
      <c r="O79" s="287"/>
      <c r="P79" s="284"/>
      <c r="Q79" s="284"/>
      <c r="R79" s="284"/>
      <c r="S79" s="287"/>
      <c r="T79" s="287"/>
      <c r="U79" s="287"/>
      <c r="V79" s="284"/>
      <c r="W79" s="284"/>
      <c r="X79" s="284"/>
      <c r="Y79" s="3"/>
      <c r="Z79" s="3"/>
      <c r="AA79" s="3"/>
      <c r="AB79" s="3"/>
      <c r="AC79" s="3"/>
      <c r="AD79" s="3"/>
    </row>
    <row r="80" spans="1:30" x14ac:dyDescent="0.25">
      <c r="A80" s="3"/>
      <c r="B80" s="304" t="s">
        <v>103</v>
      </c>
      <c r="C80" s="305"/>
      <c r="D80" s="644"/>
      <c r="E80" s="644"/>
      <c r="F80" s="644"/>
      <c r="G80" s="644"/>
      <c r="H80" s="644"/>
      <c r="I80" s="644"/>
      <c r="J80" s="644"/>
      <c r="K80" s="644"/>
      <c r="L80" s="644"/>
      <c r="M80" s="644"/>
      <c r="N80" s="644"/>
      <c r="O80" s="644"/>
      <c r="P80" s="644"/>
      <c r="Q80" s="644"/>
      <c r="R80" s="644"/>
      <c r="S80" s="644"/>
      <c r="T80" s="644"/>
      <c r="U80" s="644"/>
      <c r="V80" s="306"/>
      <c r="W80" s="306"/>
      <c r="X80" s="306"/>
      <c r="Y80" s="306"/>
      <c r="Z80" s="306"/>
      <c r="AA80" s="306"/>
      <c r="AB80" s="307"/>
      <c r="AC80" s="3"/>
      <c r="AD80" s="3"/>
    </row>
    <row r="81" spans="1:30" x14ac:dyDescent="0.25">
      <c r="A81" s="3"/>
      <c r="B81" s="308" t="s">
        <v>336</v>
      </c>
      <c r="M81"/>
      <c r="AB81" s="309"/>
      <c r="AC81" s="3"/>
      <c r="AD81" s="3"/>
    </row>
    <row r="82" spans="1:30" x14ac:dyDescent="0.25">
      <c r="A82" s="3"/>
      <c r="B82" s="634" t="s">
        <v>337</v>
      </c>
      <c r="C82" s="635"/>
      <c r="D82" s="635"/>
      <c r="E82" s="635"/>
      <c r="F82" s="635"/>
      <c r="G82" s="635"/>
      <c r="H82" s="635"/>
      <c r="I82" s="635"/>
      <c r="J82" s="635"/>
      <c r="K82" s="635"/>
      <c r="L82" s="635"/>
      <c r="M82" s="635"/>
      <c r="N82" s="635"/>
      <c r="O82" s="635"/>
      <c r="P82" s="635"/>
      <c r="Q82" s="635"/>
      <c r="R82" s="635"/>
      <c r="S82" s="635"/>
      <c r="T82" s="635"/>
      <c r="U82" s="635"/>
      <c r="AB82" s="309"/>
      <c r="AC82" s="3"/>
      <c r="AD82" s="3"/>
    </row>
    <row r="83" spans="1:30" x14ac:dyDescent="0.25">
      <c r="A83" s="3"/>
      <c r="B83" s="634"/>
      <c r="C83" s="635"/>
      <c r="D83" s="635"/>
      <c r="E83" s="635"/>
      <c r="F83" s="635"/>
      <c r="G83" s="635"/>
      <c r="H83" s="635"/>
      <c r="I83" s="635"/>
      <c r="J83" s="635"/>
      <c r="K83" s="635"/>
      <c r="L83" s="635"/>
      <c r="M83" s="635"/>
      <c r="N83" s="635"/>
      <c r="O83" s="635"/>
      <c r="P83" s="635"/>
      <c r="Q83" s="635"/>
      <c r="R83" s="635"/>
      <c r="S83" s="635"/>
      <c r="T83" s="635"/>
      <c r="U83" s="635"/>
      <c r="AB83" s="309"/>
      <c r="AC83" s="3"/>
      <c r="AD83" s="3"/>
    </row>
    <row r="84" spans="1:30" x14ac:dyDescent="0.25">
      <c r="A84" s="3"/>
      <c r="B84" s="634"/>
      <c r="C84" s="635"/>
      <c r="D84" s="635"/>
      <c r="E84" s="635"/>
      <c r="F84" s="635"/>
      <c r="G84" s="635"/>
      <c r="H84" s="635"/>
      <c r="I84" s="635"/>
      <c r="J84" s="635"/>
      <c r="K84" s="635"/>
      <c r="L84" s="635"/>
      <c r="M84" s="635"/>
      <c r="N84" s="635"/>
      <c r="O84" s="635"/>
      <c r="P84" s="635"/>
      <c r="Q84" s="635"/>
      <c r="R84" s="635"/>
      <c r="S84" s="635"/>
      <c r="T84" s="635"/>
      <c r="U84" s="635"/>
      <c r="AB84" s="309"/>
      <c r="AC84" s="3"/>
      <c r="AD84" s="3"/>
    </row>
    <row r="85" spans="1:30" x14ac:dyDescent="0.25">
      <c r="A85" s="3"/>
      <c r="B85" s="310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AB85" s="309"/>
      <c r="AC85" s="3"/>
      <c r="AD85" s="3"/>
    </row>
    <row r="86" spans="1:30" x14ac:dyDescent="0.25">
      <c r="A86" s="3"/>
      <c r="B86" s="310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AB86" s="309"/>
      <c r="AC86" s="3"/>
      <c r="AD86" s="3"/>
    </row>
    <row r="87" spans="1:30" x14ac:dyDescent="0.25">
      <c r="A87" s="3"/>
      <c r="B87" s="310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AB87" s="309"/>
      <c r="AC87" s="3"/>
      <c r="AD87" s="3"/>
    </row>
    <row r="88" spans="1:30" x14ac:dyDescent="0.25">
      <c r="A88" s="3"/>
      <c r="B88" s="310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AB88" s="309"/>
      <c r="AC88" s="3"/>
      <c r="AD88" s="3"/>
    </row>
    <row r="89" spans="1:30" x14ac:dyDescent="0.25">
      <c r="A89" s="3"/>
      <c r="B89" s="31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AB89" s="309"/>
      <c r="AC89" s="3"/>
      <c r="AD89" s="3"/>
    </row>
    <row r="90" spans="1:30" x14ac:dyDescent="0.25">
      <c r="A90" s="3"/>
      <c r="B90" s="310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AB90" s="309"/>
      <c r="AC90" s="3"/>
      <c r="AD90" s="3"/>
    </row>
    <row r="91" spans="1:30" x14ac:dyDescent="0.25">
      <c r="A91" s="3"/>
      <c r="B91" s="310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AB91" s="309"/>
      <c r="AC91" s="3"/>
      <c r="AD91" s="3"/>
    </row>
    <row r="92" spans="1:30" x14ac:dyDescent="0.25">
      <c r="A92" s="3"/>
      <c r="B92" s="310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AB92" s="309"/>
      <c r="AC92" s="3"/>
      <c r="AD92" s="3"/>
    </row>
    <row r="93" spans="1:30" x14ac:dyDescent="0.25">
      <c r="A93" s="3"/>
      <c r="B93" s="310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AB93" s="309"/>
      <c r="AC93" s="3"/>
      <c r="AD93" s="3"/>
    </row>
    <row r="94" spans="1:30" x14ac:dyDescent="0.25">
      <c r="A94" s="3"/>
      <c r="B94" s="310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AB94" s="309"/>
      <c r="AC94" s="3"/>
      <c r="AD94" s="3"/>
    </row>
    <row r="95" spans="1:30" x14ac:dyDescent="0.25">
      <c r="A95" s="3"/>
      <c r="B95" s="310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AB95" s="309"/>
      <c r="AC95" s="3"/>
      <c r="AD95" s="3"/>
    </row>
    <row r="96" spans="1:30" x14ac:dyDescent="0.25">
      <c r="A96" s="3"/>
      <c r="B96" s="310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AB96" s="309"/>
      <c r="AC96" s="3"/>
      <c r="AD96" s="3"/>
    </row>
    <row r="97" spans="1:30" x14ac:dyDescent="0.25">
      <c r="A97" s="3"/>
      <c r="B97" s="314"/>
      <c r="C97" s="315"/>
      <c r="D97" s="316"/>
      <c r="E97" s="316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8"/>
      <c r="W97" s="318"/>
      <c r="X97" s="318"/>
      <c r="Y97" s="318"/>
      <c r="Z97" s="318"/>
      <c r="AA97" s="318"/>
      <c r="AB97" s="319"/>
      <c r="AC97" s="3"/>
      <c r="AD97" s="3"/>
    </row>
    <row r="98" spans="1:30" x14ac:dyDescent="0.25">
      <c r="A98" s="3"/>
      <c r="B98" s="320"/>
      <c r="C98" s="321"/>
      <c r="D98" s="320"/>
      <c r="E98" s="320"/>
      <c r="F98" s="322"/>
      <c r="G98" s="322"/>
      <c r="H98" s="322"/>
      <c r="I98" s="322"/>
      <c r="J98" s="322"/>
      <c r="K98" s="322"/>
      <c r="L98" s="322"/>
      <c r="M98" s="322"/>
      <c r="N98" s="322"/>
      <c r="O98" s="322"/>
      <c r="P98" s="322"/>
      <c r="Q98" s="322"/>
      <c r="R98" s="322"/>
      <c r="S98" s="322"/>
      <c r="T98" s="322"/>
      <c r="U98" s="322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3"/>
      <c r="B99" s="320"/>
      <c r="C99" s="321"/>
      <c r="D99" s="320"/>
      <c r="E99" s="320"/>
      <c r="F99" s="322"/>
      <c r="G99" s="322"/>
      <c r="H99" s="322"/>
      <c r="I99" s="322"/>
      <c r="J99" s="322"/>
      <c r="K99" s="322"/>
      <c r="L99" s="322"/>
      <c r="M99" s="322"/>
      <c r="N99" s="322"/>
      <c r="O99" s="322"/>
      <c r="P99" s="322"/>
      <c r="Q99" s="322"/>
      <c r="R99" s="322"/>
      <c r="S99" s="322"/>
      <c r="T99" s="322"/>
      <c r="U99" s="322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3"/>
      <c r="B100" s="323"/>
      <c r="C100" s="323"/>
      <c r="D100" s="323"/>
      <c r="E100" s="323"/>
      <c r="F100" s="323"/>
      <c r="G100" s="323"/>
      <c r="H100" s="323"/>
      <c r="I100" s="323"/>
      <c r="J100" s="323"/>
      <c r="K100" s="323"/>
      <c r="L100" s="323"/>
      <c r="M100" s="323"/>
      <c r="N100" s="323"/>
      <c r="O100" s="323"/>
      <c r="P100" s="323"/>
      <c r="Q100" s="323"/>
      <c r="R100" s="323"/>
      <c r="S100" s="323"/>
      <c r="T100" s="323"/>
      <c r="U100" s="32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3"/>
      <c r="B101" s="323" t="s">
        <v>104</v>
      </c>
      <c r="C101" s="324">
        <v>45918</v>
      </c>
      <c r="D101" s="323" t="s">
        <v>105</v>
      </c>
      <c r="E101" s="635" t="s">
        <v>338</v>
      </c>
      <c r="F101" s="635"/>
      <c r="G101" s="635"/>
      <c r="H101" s="323"/>
      <c r="I101" s="323" t="s">
        <v>107</v>
      </c>
      <c r="J101" s="636" t="s">
        <v>339</v>
      </c>
      <c r="K101" s="636"/>
      <c r="L101" s="636"/>
      <c r="M101" s="636"/>
      <c r="N101" s="323"/>
      <c r="O101" s="323"/>
      <c r="P101" s="323"/>
      <c r="Q101" s="323"/>
      <c r="R101" s="323"/>
      <c r="S101" s="323"/>
      <c r="T101" s="323"/>
      <c r="U101" s="32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7.5" customHeight="1" x14ac:dyDescent="0.25">
      <c r="A102" s="3"/>
      <c r="B102" s="323"/>
      <c r="C102" s="323"/>
      <c r="D102" s="323"/>
      <c r="E102" s="323"/>
      <c r="F102" s="323"/>
      <c r="G102" s="323"/>
      <c r="H102" s="323"/>
      <c r="I102" s="323"/>
      <c r="J102" s="323"/>
      <c r="K102" s="323"/>
      <c r="L102" s="323"/>
      <c r="M102" s="323"/>
      <c r="N102" s="323"/>
      <c r="O102" s="323"/>
      <c r="P102" s="323"/>
      <c r="Q102" s="323"/>
      <c r="R102" s="323"/>
      <c r="S102" s="323"/>
      <c r="T102" s="323"/>
      <c r="U102" s="32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x14ac:dyDescent="0.25">
      <c r="A103" s="3"/>
      <c r="B103" s="323"/>
      <c r="C103" s="323"/>
      <c r="D103" s="323" t="s">
        <v>109</v>
      </c>
      <c r="E103" s="325"/>
      <c r="F103" s="325"/>
      <c r="G103" s="325"/>
      <c r="H103" s="323"/>
      <c r="I103" s="323" t="s">
        <v>109</v>
      </c>
      <c r="J103" s="326"/>
      <c r="K103" s="326"/>
      <c r="L103" s="326"/>
      <c r="M103" s="326"/>
      <c r="N103" s="323"/>
      <c r="O103" s="323"/>
      <c r="P103" s="323"/>
      <c r="Q103" s="323"/>
      <c r="R103" s="323"/>
      <c r="S103" s="323"/>
      <c r="T103" s="323"/>
      <c r="U103" s="32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x14ac:dyDescent="0.25">
      <c r="A104" s="3"/>
      <c r="B104" s="323"/>
      <c r="C104" s="323"/>
      <c r="D104" s="323"/>
      <c r="E104" s="325"/>
      <c r="F104" s="325"/>
      <c r="G104" s="325"/>
      <c r="H104" s="323"/>
      <c r="I104" s="323"/>
      <c r="J104" s="326"/>
      <c r="K104" s="326"/>
      <c r="L104" s="326"/>
      <c r="M104" s="326"/>
      <c r="N104" s="323"/>
      <c r="O104" s="323"/>
      <c r="P104" s="323"/>
      <c r="Q104" s="323"/>
      <c r="R104" s="323"/>
      <c r="S104" s="323"/>
      <c r="T104" s="323"/>
      <c r="U104" s="32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x14ac:dyDescent="0.25">
      <c r="A105" s="3"/>
      <c r="B105" s="323"/>
      <c r="C105" s="323"/>
      <c r="D105" s="323"/>
      <c r="E105" s="323"/>
      <c r="F105" s="323"/>
      <c r="G105" s="323"/>
      <c r="H105" s="323"/>
      <c r="I105" s="323"/>
      <c r="J105" s="323"/>
      <c r="K105" s="323"/>
      <c r="L105" s="323"/>
      <c r="M105" s="323"/>
      <c r="N105" s="323"/>
      <c r="O105" s="323"/>
      <c r="P105" s="323"/>
      <c r="Q105" s="323"/>
      <c r="R105" s="323"/>
      <c r="S105" s="323"/>
      <c r="T105" s="323"/>
      <c r="U105" s="32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x14ac:dyDescent="0.25">
      <c r="A106" s="3"/>
      <c r="B106" s="323"/>
      <c r="C106" s="323"/>
      <c r="D106" s="323"/>
      <c r="E106" s="323"/>
      <c r="F106" s="323"/>
      <c r="G106" s="323"/>
      <c r="H106" s="323"/>
      <c r="I106" s="323"/>
      <c r="J106" s="323"/>
      <c r="K106" s="323"/>
      <c r="L106" s="323"/>
      <c r="M106" s="323"/>
      <c r="N106" s="323"/>
      <c r="O106" s="323"/>
      <c r="P106" s="323"/>
      <c r="Q106" s="323"/>
      <c r="R106" s="323"/>
      <c r="S106" s="323"/>
      <c r="T106" s="323"/>
      <c r="U106" s="32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t="15" hidden="1" customHeight="1" x14ac:dyDescent="0.25"/>
    <row r="138" ht="15" hidden="1" customHeight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x14ac:dyDescent="0.25"/>
  </sheetData>
  <mergeCells count="82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6:AB28"/>
    <mergeCell ref="J27:L27"/>
    <mergeCell ref="M27:M28"/>
    <mergeCell ref="N27:N28"/>
    <mergeCell ref="O27:O28"/>
    <mergeCell ref="AA13:AA14"/>
    <mergeCell ref="D26:I26"/>
    <mergeCell ref="J26:O26"/>
    <mergeCell ref="P26:U26"/>
    <mergeCell ref="V26:AA26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27:B28"/>
    <mergeCell ref="C27:C28"/>
    <mergeCell ref="D27:F27"/>
    <mergeCell ref="G27:G28"/>
    <mergeCell ref="H27:H28"/>
    <mergeCell ref="V60:X60"/>
    <mergeCell ref="P27:R27"/>
    <mergeCell ref="S27:S28"/>
    <mergeCell ref="T27:T28"/>
    <mergeCell ref="U27:U28"/>
    <mergeCell ref="V27:X27"/>
    <mergeCell ref="Z27:Z28"/>
    <mergeCell ref="AA27:AA28"/>
    <mergeCell ref="C44:C45"/>
    <mergeCell ref="C47:C48"/>
    <mergeCell ref="V59:X59"/>
    <mergeCell ref="Y27:Y28"/>
    <mergeCell ref="I27:I28"/>
    <mergeCell ref="U73:X73"/>
    <mergeCell ref="V61:X61"/>
    <mergeCell ref="V62:X62"/>
    <mergeCell ref="D64:E64"/>
    <mergeCell ref="V64:X64"/>
    <mergeCell ref="V65:X65"/>
    <mergeCell ref="V66:X66"/>
    <mergeCell ref="U68:X68"/>
    <mergeCell ref="U69:X69"/>
    <mergeCell ref="U70:X70"/>
    <mergeCell ref="U71:X71"/>
    <mergeCell ref="U72:X72"/>
    <mergeCell ref="B83:U83"/>
    <mergeCell ref="B84:U84"/>
    <mergeCell ref="E101:G101"/>
    <mergeCell ref="J101:M101"/>
    <mergeCell ref="U74:X74"/>
    <mergeCell ref="U75:X75"/>
    <mergeCell ref="U76:X76"/>
    <mergeCell ref="U77:X77"/>
    <mergeCell ref="D80:U80"/>
    <mergeCell ref="B82:U82"/>
  </mergeCells>
  <conditionalFormatting sqref="AB15:AB26 AB29:AB42">
    <cfRule type="cellIs" dxfId="1" priority="1" operator="equal">
      <formula>0</formula>
    </cfRule>
    <cfRule type="containsErrors" dxfId="0" priority="2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AD131"/>
  <sheetViews>
    <sheetView showGridLines="0" zoomScale="80" zoomScaleNormal="80" zoomScaleSheetLayoutView="80" workbookViewId="0">
      <selection activeCell="X34" sqref="X3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327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17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7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7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1</v>
      </c>
      <c r="C4" s="3"/>
      <c r="D4" s="690" t="s">
        <v>110</v>
      </c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7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3</v>
      </c>
      <c r="C6" s="3"/>
      <c r="D6" s="174">
        <v>46790080</v>
      </c>
      <c r="E6" s="3"/>
      <c r="F6" s="3"/>
      <c r="G6" s="3"/>
      <c r="H6" s="3"/>
      <c r="I6" s="3"/>
      <c r="J6" s="3"/>
      <c r="K6" s="3"/>
      <c r="L6" s="3"/>
      <c r="M6" s="17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175"/>
      <c r="E7" s="3"/>
      <c r="F7" s="3"/>
      <c r="G7" s="3"/>
      <c r="H7" s="3"/>
      <c r="I7" s="3"/>
      <c r="J7" s="3"/>
      <c r="K7" s="3"/>
      <c r="L7" s="3"/>
      <c r="M7" s="17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5</v>
      </c>
      <c r="C8" s="3"/>
      <c r="D8" s="691" t="s">
        <v>111</v>
      </c>
      <c r="E8" s="691"/>
      <c r="F8" s="691"/>
      <c r="G8" s="691"/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691"/>
      <c r="T8" s="691"/>
      <c r="U8" s="691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7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692" t="s">
        <v>7</v>
      </c>
      <c r="C10" s="651" t="s">
        <v>8</v>
      </c>
      <c r="D10" s="678" t="s">
        <v>9</v>
      </c>
      <c r="E10" s="679"/>
      <c r="F10" s="679"/>
      <c r="G10" s="679"/>
      <c r="H10" s="679"/>
      <c r="I10" s="680"/>
      <c r="J10" s="678" t="s">
        <v>10</v>
      </c>
      <c r="K10" s="679"/>
      <c r="L10" s="679"/>
      <c r="M10" s="679"/>
      <c r="N10" s="679"/>
      <c r="O10" s="680"/>
      <c r="P10" s="678" t="s">
        <v>11</v>
      </c>
      <c r="Q10" s="679"/>
      <c r="R10" s="679"/>
      <c r="S10" s="679"/>
      <c r="T10" s="679"/>
      <c r="U10" s="680"/>
      <c r="V10" s="678" t="s">
        <v>12</v>
      </c>
      <c r="W10" s="679"/>
      <c r="X10" s="679"/>
      <c r="Y10" s="679"/>
      <c r="Z10" s="679"/>
      <c r="AA10" s="680"/>
      <c r="AB10" s="681" t="s">
        <v>13</v>
      </c>
      <c r="AC10" s="3"/>
      <c r="AD10" s="3"/>
    </row>
    <row r="11" spans="1:30" ht="30.75" customHeight="1" thickBot="1" x14ac:dyDescent="0.3">
      <c r="A11" s="3"/>
      <c r="B11" s="693"/>
      <c r="C11" s="652"/>
      <c r="D11" s="684" t="s">
        <v>14</v>
      </c>
      <c r="E11" s="685"/>
      <c r="F11" s="685"/>
      <c r="G11" s="686"/>
      <c r="H11" s="176" t="s">
        <v>15</v>
      </c>
      <c r="I11" s="176" t="s">
        <v>16</v>
      </c>
      <c r="J11" s="684" t="s">
        <v>14</v>
      </c>
      <c r="K11" s="685"/>
      <c r="L11" s="685"/>
      <c r="M11" s="686"/>
      <c r="N11" s="176" t="s">
        <v>15</v>
      </c>
      <c r="O11" s="176" t="s">
        <v>16</v>
      </c>
      <c r="P11" s="684" t="s">
        <v>14</v>
      </c>
      <c r="Q11" s="685"/>
      <c r="R11" s="685"/>
      <c r="S11" s="686"/>
      <c r="T11" s="176" t="s">
        <v>15</v>
      </c>
      <c r="U11" s="176" t="s">
        <v>16</v>
      </c>
      <c r="V11" s="684" t="s">
        <v>14</v>
      </c>
      <c r="W11" s="685"/>
      <c r="X11" s="685"/>
      <c r="Y11" s="686"/>
      <c r="Z11" s="176" t="s">
        <v>15</v>
      </c>
      <c r="AA11" s="176" t="s">
        <v>16</v>
      </c>
      <c r="AB11" s="682"/>
      <c r="AC11" s="3"/>
      <c r="AD11" s="3"/>
    </row>
    <row r="12" spans="1:30" ht="15.75" customHeight="1" thickBot="1" x14ac:dyDescent="0.3">
      <c r="A12" s="3"/>
      <c r="B12" s="693"/>
      <c r="C12" s="695"/>
      <c r="D12" s="687" t="s">
        <v>17</v>
      </c>
      <c r="E12" s="688"/>
      <c r="F12" s="688"/>
      <c r="G12" s="688"/>
      <c r="H12" s="688"/>
      <c r="I12" s="689"/>
      <c r="J12" s="687" t="s">
        <v>17</v>
      </c>
      <c r="K12" s="688"/>
      <c r="L12" s="688"/>
      <c r="M12" s="688"/>
      <c r="N12" s="688"/>
      <c r="O12" s="689"/>
      <c r="P12" s="687" t="s">
        <v>17</v>
      </c>
      <c r="Q12" s="688"/>
      <c r="R12" s="688"/>
      <c r="S12" s="688"/>
      <c r="T12" s="688"/>
      <c r="U12" s="689"/>
      <c r="V12" s="687" t="s">
        <v>17</v>
      </c>
      <c r="W12" s="688"/>
      <c r="X12" s="688"/>
      <c r="Y12" s="688"/>
      <c r="Z12" s="688"/>
      <c r="AA12" s="689"/>
      <c r="AB12" s="682"/>
      <c r="AC12" s="3"/>
      <c r="AD12" s="3"/>
    </row>
    <row r="13" spans="1:30" ht="15.75" customHeight="1" thickBot="1" x14ac:dyDescent="0.3">
      <c r="A13" s="3"/>
      <c r="B13" s="694"/>
      <c r="C13" s="696"/>
      <c r="D13" s="676" t="s">
        <v>18</v>
      </c>
      <c r="E13" s="677"/>
      <c r="F13" s="677"/>
      <c r="G13" s="647" t="s">
        <v>19</v>
      </c>
      <c r="H13" s="674" t="s">
        <v>20</v>
      </c>
      <c r="I13" s="653" t="s">
        <v>17</v>
      </c>
      <c r="J13" s="676" t="s">
        <v>18</v>
      </c>
      <c r="K13" s="677"/>
      <c r="L13" s="677"/>
      <c r="M13" s="647" t="s">
        <v>19</v>
      </c>
      <c r="N13" s="674" t="s">
        <v>20</v>
      </c>
      <c r="O13" s="653" t="s">
        <v>17</v>
      </c>
      <c r="P13" s="676" t="s">
        <v>18</v>
      </c>
      <c r="Q13" s="677"/>
      <c r="R13" s="677"/>
      <c r="S13" s="647" t="s">
        <v>19</v>
      </c>
      <c r="T13" s="674" t="s">
        <v>20</v>
      </c>
      <c r="U13" s="653" t="s">
        <v>17</v>
      </c>
      <c r="V13" s="676" t="s">
        <v>18</v>
      </c>
      <c r="W13" s="677"/>
      <c r="X13" s="677"/>
      <c r="Y13" s="647" t="s">
        <v>19</v>
      </c>
      <c r="Z13" s="674" t="s">
        <v>20</v>
      </c>
      <c r="AA13" s="653" t="s">
        <v>17</v>
      </c>
      <c r="AB13" s="682"/>
      <c r="AC13" s="3"/>
      <c r="AD13" s="3"/>
    </row>
    <row r="14" spans="1:30" ht="15.75" thickBot="1" x14ac:dyDescent="0.3">
      <c r="A14" s="3"/>
      <c r="B14" s="177"/>
      <c r="C14" s="178"/>
      <c r="D14" s="179" t="s">
        <v>21</v>
      </c>
      <c r="E14" s="180" t="s">
        <v>22</v>
      </c>
      <c r="F14" s="180" t="s">
        <v>23</v>
      </c>
      <c r="G14" s="648"/>
      <c r="H14" s="675"/>
      <c r="I14" s="654"/>
      <c r="J14" s="179" t="s">
        <v>21</v>
      </c>
      <c r="K14" s="180" t="s">
        <v>22</v>
      </c>
      <c r="L14" s="180" t="s">
        <v>23</v>
      </c>
      <c r="M14" s="648"/>
      <c r="N14" s="675"/>
      <c r="O14" s="654"/>
      <c r="P14" s="179" t="s">
        <v>21</v>
      </c>
      <c r="Q14" s="180" t="s">
        <v>22</v>
      </c>
      <c r="R14" s="180" t="s">
        <v>23</v>
      </c>
      <c r="S14" s="648"/>
      <c r="T14" s="675"/>
      <c r="U14" s="654"/>
      <c r="V14" s="179" t="s">
        <v>21</v>
      </c>
      <c r="W14" s="180" t="s">
        <v>22</v>
      </c>
      <c r="X14" s="180" t="s">
        <v>23</v>
      </c>
      <c r="Y14" s="648"/>
      <c r="Z14" s="675"/>
      <c r="AA14" s="654"/>
      <c r="AB14" s="683"/>
      <c r="AC14" s="3"/>
      <c r="AD14" s="3"/>
    </row>
    <row r="15" spans="1:30" x14ac:dyDescent="0.25">
      <c r="A15" s="3"/>
      <c r="B15" s="181" t="s">
        <v>24</v>
      </c>
      <c r="C15" s="182" t="s">
        <v>25</v>
      </c>
      <c r="D15" s="183"/>
      <c r="E15" s="184"/>
      <c r="F15" s="185">
        <v>9631.5</v>
      </c>
      <c r="G15" s="186">
        <f>SUM(D15:F15)</f>
        <v>9631.5</v>
      </c>
      <c r="H15" s="187">
        <v>331.5</v>
      </c>
      <c r="I15" s="188">
        <f>G15+H15</f>
        <v>9963</v>
      </c>
      <c r="J15" s="183"/>
      <c r="K15" s="184"/>
      <c r="L15" s="185">
        <v>6500</v>
      </c>
      <c r="M15" s="186">
        <f>SUM(J15:L15)</f>
        <v>6500</v>
      </c>
      <c r="N15" s="187">
        <v>400</v>
      </c>
      <c r="O15" s="189">
        <f>M15+N15</f>
        <v>6900</v>
      </c>
      <c r="P15" s="183"/>
      <c r="Q15" s="184"/>
      <c r="R15" s="185">
        <v>5445</v>
      </c>
      <c r="S15" s="186">
        <f>SUM(P15:R15)</f>
        <v>5445</v>
      </c>
      <c r="T15" s="187">
        <v>392</v>
      </c>
      <c r="U15" s="188">
        <f>S15+T15</f>
        <v>5837</v>
      </c>
      <c r="V15" s="183"/>
      <c r="W15" s="184"/>
      <c r="X15" s="185">
        <v>7500</v>
      </c>
      <c r="Y15" s="186">
        <f>SUM(V15:X15)</f>
        <v>7500</v>
      </c>
      <c r="Z15" s="187">
        <v>400</v>
      </c>
      <c r="AA15" s="188">
        <f>Y15+Z15</f>
        <v>7900</v>
      </c>
      <c r="AB15" s="190">
        <f>(AA15/O15)</f>
        <v>1.144927536231884</v>
      </c>
      <c r="AC15" s="3"/>
      <c r="AD15" s="3"/>
    </row>
    <row r="16" spans="1:30" x14ac:dyDescent="0.25">
      <c r="A16" s="3"/>
      <c r="B16" s="191" t="s">
        <v>26</v>
      </c>
      <c r="C16" s="192" t="s">
        <v>27</v>
      </c>
      <c r="D16" s="193">
        <v>12000</v>
      </c>
      <c r="E16" s="194"/>
      <c r="F16" s="194"/>
      <c r="G16" s="195">
        <f t="shared" ref="G16:G23" si="0">SUM(D16:F16)</f>
        <v>12000</v>
      </c>
      <c r="H16" s="196"/>
      <c r="I16" s="188">
        <f t="shared" ref="I16:I23" si="1">G16+H16</f>
        <v>12000</v>
      </c>
      <c r="J16" s="193">
        <v>11000</v>
      </c>
      <c r="K16" s="194"/>
      <c r="L16" s="194"/>
      <c r="M16" s="195">
        <f t="shared" ref="M16:M23" si="2">SUM(J16:L16)</f>
        <v>11000</v>
      </c>
      <c r="N16" s="196"/>
      <c r="O16" s="189">
        <f t="shared" ref="O16:O20" si="3">M16+N16</f>
        <v>11000</v>
      </c>
      <c r="P16" s="193">
        <v>5500</v>
      </c>
      <c r="Q16" s="194"/>
      <c r="R16" s="194"/>
      <c r="S16" s="195">
        <f t="shared" ref="S16:S23" si="4">SUM(P16:R16)</f>
        <v>5500</v>
      </c>
      <c r="T16" s="196"/>
      <c r="U16" s="188">
        <f t="shared" ref="U16:U20" si="5">S16+T16</f>
        <v>5500</v>
      </c>
      <c r="V16" s="193">
        <v>11000</v>
      </c>
      <c r="W16" s="194"/>
      <c r="X16" s="194"/>
      <c r="Y16" s="195">
        <f t="shared" ref="Y16:Y23" si="6">SUM(V16:X16)</f>
        <v>11000</v>
      </c>
      <c r="Z16" s="196"/>
      <c r="AA16" s="188">
        <f t="shared" ref="AA16:AA20" si="7">Y16+Z16</f>
        <v>11000</v>
      </c>
      <c r="AB16" s="190">
        <f t="shared" ref="AB16:AB24" si="8">(AA16/O16)</f>
        <v>1</v>
      </c>
      <c r="AC16" s="3"/>
      <c r="AD16" s="3"/>
    </row>
    <row r="17" spans="1:30" x14ac:dyDescent="0.25">
      <c r="A17" s="3"/>
      <c r="B17" s="191" t="s">
        <v>28</v>
      </c>
      <c r="C17" s="197" t="s">
        <v>29</v>
      </c>
      <c r="D17" s="29"/>
      <c r="E17" s="198"/>
      <c r="F17" s="198"/>
      <c r="G17" s="195">
        <f t="shared" si="0"/>
        <v>0</v>
      </c>
      <c r="H17" s="199"/>
      <c r="I17" s="188">
        <f t="shared" si="1"/>
        <v>0</v>
      </c>
      <c r="J17" s="29"/>
      <c r="K17" s="198"/>
      <c r="L17" s="198"/>
      <c r="M17" s="195">
        <f t="shared" si="2"/>
        <v>0</v>
      </c>
      <c r="N17" s="199"/>
      <c r="O17" s="189">
        <f t="shared" si="3"/>
        <v>0</v>
      </c>
      <c r="P17" s="29"/>
      <c r="Q17" s="198"/>
      <c r="R17" s="198"/>
      <c r="S17" s="195">
        <f t="shared" si="4"/>
        <v>0</v>
      </c>
      <c r="T17" s="199"/>
      <c r="U17" s="188">
        <f t="shared" si="5"/>
        <v>0</v>
      </c>
      <c r="V17" s="29"/>
      <c r="W17" s="198"/>
      <c r="X17" s="198"/>
      <c r="Y17" s="195">
        <f t="shared" si="6"/>
        <v>0</v>
      </c>
      <c r="Z17" s="199"/>
      <c r="AA17" s="188">
        <f t="shared" si="7"/>
        <v>0</v>
      </c>
      <c r="AB17" s="190" t="e">
        <f t="shared" si="8"/>
        <v>#DIV/0!</v>
      </c>
      <c r="AC17" s="3"/>
      <c r="AD17" s="3"/>
    </row>
    <row r="18" spans="1:30" x14ac:dyDescent="0.25">
      <c r="A18" s="3"/>
      <c r="B18" s="191" t="s">
        <v>30</v>
      </c>
      <c r="C18" s="200" t="s">
        <v>31</v>
      </c>
      <c r="D18" s="201"/>
      <c r="E18" s="37">
        <v>2160.6999999999998</v>
      </c>
      <c r="F18" s="198"/>
      <c r="G18" s="195">
        <f t="shared" si="0"/>
        <v>2160.6999999999998</v>
      </c>
      <c r="H18" s="187"/>
      <c r="I18" s="188">
        <f t="shared" si="1"/>
        <v>2160.6999999999998</v>
      </c>
      <c r="J18" s="201"/>
      <c r="K18" s="37">
        <v>3500</v>
      </c>
      <c r="L18" s="198"/>
      <c r="M18" s="195">
        <f t="shared" si="2"/>
        <v>3500</v>
      </c>
      <c r="N18" s="187"/>
      <c r="O18" s="189">
        <f t="shared" si="3"/>
        <v>3500</v>
      </c>
      <c r="P18" s="201"/>
      <c r="Q18" s="37">
        <v>3326</v>
      </c>
      <c r="R18" s="198"/>
      <c r="S18" s="195">
        <f t="shared" si="4"/>
        <v>3326</v>
      </c>
      <c r="T18" s="187">
        <v>0</v>
      </c>
      <c r="U18" s="188">
        <f t="shared" si="5"/>
        <v>3326</v>
      </c>
      <c r="V18" s="201"/>
      <c r="W18" s="37">
        <v>3000</v>
      </c>
      <c r="X18" s="198"/>
      <c r="Y18" s="195">
        <f t="shared" si="6"/>
        <v>3000</v>
      </c>
      <c r="Z18" s="187"/>
      <c r="AA18" s="188">
        <f t="shared" si="7"/>
        <v>3000</v>
      </c>
      <c r="AB18" s="190">
        <f t="shared" si="8"/>
        <v>0.8571428571428571</v>
      </c>
      <c r="AC18" s="3"/>
      <c r="AD18" s="3"/>
    </row>
    <row r="19" spans="1:30" x14ac:dyDescent="0.25">
      <c r="A19" s="3"/>
      <c r="B19" s="191" t="s">
        <v>32</v>
      </c>
      <c r="C19" s="202" t="s">
        <v>33</v>
      </c>
      <c r="D19" s="203"/>
      <c r="E19" s="198"/>
      <c r="F19" s="37">
        <v>642.1</v>
      </c>
      <c r="G19" s="195">
        <f t="shared" si="0"/>
        <v>642.1</v>
      </c>
      <c r="H19" s="187"/>
      <c r="I19" s="188">
        <f t="shared" si="1"/>
        <v>642.1</v>
      </c>
      <c r="J19" s="203"/>
      <c r="K19" s="198"/>
      <c r="L19" s="37">
        <v>757</v>
      </c>
      <c r="M19" s="195">
        <f t="shared" si="2"/>
        <v>757</v>
      </c>
      <c r="N19" s="187"/>
      <c r="O19" s="189">
        <f t="shared" si="3"/>
        <v>757</v>
      </c>
      <c r="P19" s="203"/>
      <c r="Q19" s="198"/>
      <c r="R19" s="37">
        <v>116</v>
      </c>
      <c r="S19" s="195">
        <f t="shared" si="4"/>
        <v>116</v>
      </c>
      <c r="T19" s="187">
        <v>0</v>
      </c>
      <c r="U19" s="188">
        <f t="shared" si="5"/>
        <v>116</v>
      </c>
      <c r="V19" s="203"/>
      <c r="W19" s="198"/>
      <c r="X19" s="37">
        <v>453</v>
      </c>
      <c r="Y19" s="195">
        <v>453</v>
      </c>
      <c r="Z19" s="187"/>
      <c r="AA19" s="188">
        <f t="shared" si="7"/>
        <v>453</v>
      </c>
      <c r="AB19" s="190">
        <f t="shared" si="8"/>
        <v>0.59841479524438568</v>
      </c>
      <c r="AC19" s="3"/>
      <c r="AD19" s="3"/>
    </row>
    <row r="20" spans="1:30" x14ac:dyDescent="0.25">
      <c r="A20" s="3"/>
      <c r="B20" s="191" t="s">
        <v>34</v>
      </c>
      <c r="C20" s="204" t="s">
        <v>35</v>
      </c>
      <c r="D20" s="201"/>
      <c r="E20" s="194"/>
      <c r="F20" s="205">
        <v>98</v>
      </c>
      <c r="G20" s="195">
        <f t="shared" si="0"/>
        <v>98</v>
      </c>
      <c r="H20" s="187"/>
      <c r="I20" s="188">
        <f t="shared" si="1"/>
        <v>98</v>
      </c>
      <c r="J20" s="201"/>
      <c r="K20" s="194"/>
      <c r="L20" s="205">
        <v>0</v>
      </c>
      <c r="M20" s="195">
        <f t="shared" si="2"/>
        <v>0</v>
      </c>
      <c r="N20" s="187"/>
      <c r="O20" s="189">
        <f t="shared" si="3"/>
        <v>0</v>
      </c>
      <c r="P20" s="201"/>
      <c r="Q20" s="194"/>
      <c r="R20" s="205">
        <v>600</v>
      </c>
      <c r="S20" s="195">
        <f t="shared" si="4"/>
        <v>600</v>
      </c>
      <c r="T20" s="187">
        <v>0</v>
      </c>
      <c r="U20" s="188">
        <f t="shared" si="5"/>
        <v>600</v>
      </c>
      <c r="V20" s="201"/>
      <c r="W20" s="194"/>
      <c r="X20" s="205">
        <v>600</v>
      </c>
      <c r="Y20" s="195">
        <f t="shared" si="6"/>
        <v>600</v>
      </c>
      <c r="Z20" s="187"/>
      <c r="AA20" s="188">
        <f t="shared" si="7"/>
        <v>600</v>
      </c>
      <c r="AB20" s="190" t="e">
        <f t="shared" si="8"/>
        <v>#DIV/0!</v>
      </c>
      <c r="AC20" s="3"/>
      <c r="AD20" s="3"/>
    </row>
    <row r="21" spans="1:30" x14ac:dyDescent="0.25">
      <c r="A21" s="3"/>
      <c r="B21" s="191" t="s">
        <v>36</v>
      </c>
      <c r="C21" s="206" t="s">
        <v>37</v>
      </c>
      <c r="D21" s="201"/>
      <c r="E21" s="194"/>
      <c r="F21" s="205">
        <v>514.9</v>
      </c>
      <c r="G21" s="195">
        <f t="shared" si="0"/>
        <v>514.9</v>
      </c>
      <c r="H21" s="207"/>
      <c r="I21" s="188">
        <f>G21+H21</f>
        <v>514.9</v>
      </c>
      <c r="J21" s="201"/>
      <c r="K21" s="194"/>
      <c r="L21" s="205">
        <v>450</v>
      </c>
      <c r="M21" s="195">
        <f t="shared" si="2"/>
        <v>450</v>
      </c>
      <c r="N21" s="207"/>
      <c r="O21" s="189">
        <f>M21+N21</f>
        <v>450</v>
      </c>
      <c r="P21" s="201"/>
      <c r="Q21" s="194"/>
      <c r="R21" s="205">
        <v>202</v>
      </c>
      <c r="S21" s="195">
        <f t="shared" si="4"/>
        <v>202</v>
      </c>
      <c r="T21" s="207">
        <v>0</v>
      </c>
      <c r="U21" s="188">
        <f>S21+T21</f>
        <v>202</v>
      </c>
      <c r="V21" s="201"/>
      <c r="W21" s="194"/>
      <c r="X21" s="205">
        <v>450</v>
      </c>
      <c r="Y21" s="195">
        <f t="shared" si="6"/>
        <v>450</v>
      </c>
      <c r="Z21" s="207"/>
      <c r="AA21" s="188">
        <f>Y21+Z21</f>
        <v>450</v>
      </c>
      <c r="AB21" s="190">
        <f t="shared" si="8"/>
        <v>1</v>
      </c>
      <c r="AC21" s="3"/>
      <c r="AD21" s="3"/>
    </row>
    <row r="22" spans="1:30" x14ac:dyDescent="0.25">
      <c r="A22" s="3"/>
      <c r="B22" s="191" t="s">
        <v>38</v>
      </c>
      <c r="C22" s="206" t="s">
        <v>39</v>
      </c>
      <c r="D22" s="201"/>
      <c r="E22" s="194"/>
      <c r="F22" s="205">
        <v>0</v>
      </c>
      <c r="G22" s="195">
        <f t="shared" si="0"/>
        <v>0</v>
      </c>
      <c r="H22" s="207"/>
      <c r="I22" s="188">
        <f t="shared" si="1"/>
        <v>0</v>
      </c>
      <c r="J22" s="201"/>
      <c r="K22" s="194"/>
      <c r="L22" s="205">
        <v>0</v>
      </c>
      <c r="M22" s="195">
        <f t="shared" si="2"/>
        <v>0</v>
      </c>
      <c r="N22" s="207"/>
      <c r="O22" s="189">
        <f t="shared" ref="O22:O23" si="9">M22+N22</f>
        <v>0</v>
      </c>
      <c r="P22" s="201"/>
      <c r="Q22" s="194"/>
      <c r="R22" s="205">
        <v>0</v>
      </c>
      <c r="S22" s="195">
        <f t="shared" si="4"/>
        <v>0</v>
      </c>
      <c r="T22" s="207">
        <v>0</v>
      </c>
      <c r="U22" s="188">
        <f t="shared" ref="U22:U23" si="10">S22+T22</f>
        <v>0</v>
      </c>
      <c r="V22" s="201"/>
      <c r="W22" s="194"/>
      <c r="X22" s="205">
        <v>0</v>
      </c>
      <c r="Y22" s="195">
        <f t="shared" si="6"/>
        <v>0</v>
      </c>
      <c r="Z22" s="207"/>
      <c r="AA22" s="188">
        <f t="shared" ref="AA22:AA23" si="11">Y22+Z22</f>
        <v>0</v>
      </c>
      <c r="AB22" s="190" t="e">
        <f t="shared" si="8"/>
        <v>#DIV/0!</v>
      </c>
      <c r="AC22" s="3"/>
      <c r="AD22" s="3"/>
    </row>
    <row r="23" spans="1:30" ht="15.75" thickBot="1" x14ac:dyDescent="0.3">
      <c r="A23" s="3"/>
      <c r="B23" s="208" t="s">
        <v>40</v>
      </c>
      <c r="C23" s="209" t="s">
        <v>41</v>
      </c>
      <c r="D23" s="210"/>
      <c r="E23" s="211"/>
      <c r="F23" s="212">
        <v>0</v>
      </c>
      <c r="G23" s="213">
        <f t="shared" si="0"/>
        <v>0</v>
      </c>
      <c r="H23" s="214"/>
      <c r="I23" s="215">
        <f t="shared" si="1"/>
        <v>0</v>
      </c>
      <c r="J23" s="210"/>
      <c r="K23" s="211"/>
      <c r="L23" s="212">
        <v>0</v>
      </c>
      <c r="M23" s="213">
        <f t="shared" si="2"/>
        <v>0</v>
      </c>
      <c r="N23" s="214"/>
      <c r="O23" s="216">
        <f t="shared" si="9"/>
        <v>0</v>
      </c>
      <c r="P23" s="210"/>
      <c r="Q23" s="211"/>
      <c r="R23" s="212">
        <v>0</v>
      </c>
      <c r="S23" s="213">
        <f t="shared" si="4"/>
        <v>0</v>
      </c>
      <c r="T23" s="214">
        <v>0</v>
      </c>
      <c r="U23" s="215">
        <f t="shared" si="10"/>
        <v>0</v>
      </c>
      <c r="V23" s="210"/>
      <c r="W23" s="211"/>
      <c r="X23" s="212">
        <v>0</v>
      </c>
      <c r="Y23" s="213">
        <f t="shared" si="6"/>
        <v>0</v>
      </c>
      <c r="Z23" s="214"/>
      <c r="AA23" s="215">
        <f t="shared" si="11"/>
        <v>0</v>
      </c>
      <c r="AB23" s="217" t="e">
        <f t="shared" si="8"/>
        <v>#DIV/0!</v>
      </c>
      <c r="AC23" s="3"/>
      <c r="AD23" s="3"/>
    </row>
    <row r="24" spans="1:30" ht="15.75" thickBot="1" x14ac:dyDescent="0.3">
      <c r="A24" s="3"/>
      <c r="B24" s="218" t="s">
        <v>42</v>
      </c>
      <c r="C24" s="219" t="s">
        <v>43</v>
      </c>
      <c r="D24" s="220">
        <f>SUM(D15:D21)</f>
        <v>12000</v>
      </c>
      <c r="E24" s="221">
        <f>SUM(E15:E21)</f>
        <v>2160.6999999999998</v>
      </c>
      <c r="F24" s="221">
        <f>SUM(F15:F21)</f>
        <v>10886.5</v>
      </c>
      <c r="G24" s="222">
        <f>SUM(D24:F24)</f>
        <v>25047.200000000001</v>
      </c>
      <c r="H24" s="223">
        <f>SUM(H15:H21)</f>
        <v>331.5</v>
      </c>
      <c r="I24" s="223">
        <f>SUM(I15:I21)</f>
        <v>25378.7</v>
      </c>
      <c r="J24" s="224">
        <f>SUM(J15:J21)</f>
        <v>11000</v>
      </c>
      <c r="K24" s="225">
        <f>SUM(K15:K21)</f>
        <v>3500</v>
      </c>
      <c r="L24" s="225">
        <f>SUM(L15:L21)</f>
        <v>7707</v>
      </c>
      <c r="M24" s="226">
        <f>SUM(J24:L24)</f>
        <v>22207</v>
      </c>
      <c r="N24" s="227">
        <f>SUM(N15:N21)</f>
        <v>400</v>
      </c>
      <c r="O24" s="227">
        <f>SUM(O15:O21)</f>
        <v>22607</v>
      </c>
      <c r="P24" s="220">
        <f>SUM(P15:P21)</f>
        <v>5500</v>
      </c>
      <c r="Q24" s="221">
        <f>SUM(Q15:Q21)</f>
        <v>3326</v>
      </c>
      <c r="R24" s="221">
        <f>SUM(R15:R21)</f>
        <v>6363</v>
      </c>
      <c r="S24" s="222">
        <f>SUM(P24:R24)</f>
        <v>15189</v>
      </c>
      <c r="T24" s="223">
        <f>SUM(T15:T21)</f>
        <v>392</v>
      </c>
      <c r="U24" s="223">
        <f>SUM(U15:U21)</f>
        <v>15581</v>
      </c>
      <c r="V24" s="220">
        <f>SUM(V15:V21)</f>
        <v>11000</v>
      </c>
      <c r="W24" s="221">
        <f>SUM(W15:W21)</f>
        <v>3000</v>
      </c>
      <c r="X24" s="221">
        <f>SUM(X15:X21)</f>
        <v>9003</v>
      </c>
      <c r="Y24" s="222">
        <f>SUM(V24:X24)</f>
        <v>23003</v>
      </c>
      <c r="Z24" s="223">
        <f>SUM(Z15:Z21)</f>
        <v>400</v>
      </c>
      <c r="AA24" s="223">
        <f>SUM(AA15:AA21)</f>
        <v>23403</v>
      </c>
      <c r="AB24" s="228">
        <f t="shared" si="8"/>
        <v>1.0352103330826734</v>
      </c>
      <c r="AC24" s="3"/>
      <c r="AD24" s="3"/>
    </row>
    <row r="25" spans="1:30" ht="15.75" customHeight="1" thickBot="1" x14ac:dyDescent="0.3">
      <c r="A25" s="3"/>
      <c r="B25" s="229"/>
      <c r="C25" s="230"/>
      <c r="D25" s="655" t="s">
        <v>44</v>
      </c>
      <c r="E25" s="656"/>
      <c r="F25" s="656"/>
      <c r="G25" s="657"/>
      <c r="H25" s="657"/>
      <c r="I25" s="658"/>
      <c r="J25" s="659" t="s">
        <v>44</v>
      </c>
      <c r="K25" s="660"/>
      <c r="L25" s="660"/>
      <c r="M25" s="661"/>
      <c r="N25" s="661"/>
      <c r="O25" s="662"/>
      <c r="P25" s="655" t="s">
        <v>44</v>
      </c>
      <c r="Q25" s="656"/>
      <c r="R25" s="656"/>
      <c r="S25" s="657"/>
      <c r="T25" s="657"/>
      <c r="U25" s="658"/>
      <c r="V25" s="655" t="s">
        <v>44</v>
      </c>
      <c r="W25" s="656"/>
      <c r="X25" s="656"/>
      <c r="Y25" s="657"/>
      <c r="Z25" s="657"/>
      <c r="AA25" s="658"/>
      <c r="AB25" s="663" t="s">
        <v>13</v>
      </c>
      <c r="AC25" s="3"/>
      <c r="AD25" s="3"/>
    </row>
    <row r="26" spans="1:30" ht="15.75" thickBot="1" x14ac:dyDescent="0.3">
      <c r="A26" s="3"/>
      <c r="B26" s="649" t="s">
        <v>7</v>
      </c>
      <c r="C26" s="651" t="s">
        <v>8</v>
      </c>
      <c r="D26" s="645" t="s">
        <v>45</v>
      </c>
      <c r="E26" s="646"/>
      <c r="F26" s="646"/>
      <c r="G26" s="647" t="s">
        <v>46</v>
      </c>
      <c r="H26" s="637" t="s">
        <v>47</v>
      </c>
      <c r="I26" s="639" t="s">
        <v>44</v>
      </c>
      <c r="J26" s="666" t="s">
        <v>45</v>
      </c>
      <c r="K26" s="667"/>
      <c r="L26" s="667"/>
      <c r="M26" s="668" t="s">
        <v>46</v>
      </c>
      <c r="N26" s="670" t="s">
        <v>47</v>
      </c>
      <c r="O26" s="672" t="s">
        <v>44</v>
      </c>
      <c r="P26" s="645" t="s">
        <v>45</v>
      </c>
      <c r="Q26" s="646"/>
      <c r="R26" s="646"/>
      <c r="S26" s="647" t="s">
        <v>46</v>
      </c>
      <c r="T26" s="637" t="s">
        <v>47</v>
      </c>
      <c r="U26" s="639" t="s">
        <v>44</v>
      </c>
      <c r="V26" s="645" t="s">
        <v>45</v>
      </c>
      <c r="W26" s="646"/>
      <c r="X26" s="646"/>
      <c r="Y26" s="647" t="s">
        <v>46</v>
      </c>
      <c r="Z26" s="637" t="s">
        <v>47</v>
      </c>
      <c r="AA26" s="639" t="s">
        <v>44</v>
      </c>
      <c r="AB26" s="664"/>
      <c r="AC26" s="3"/>
      <c r="AD26" s="3"/>
    </row>
    <row r="27" spans="1:30" ht="15.75" thickBot="1" x14ac:dyDescent="0.3">
      <c r="A27" s="3"/>
      <c r="B27" s="650"/>
      <c r="C27" s="652"/>
      <c r="D27" s="231" t="s">
        <v>48</v>
      </c>
      <c r="E27" s="232" t="s">
        <v>49</v>
      </c>
      <c r="F27" s="233" t="s">
        <v>50</v>
      </c>
      <c r="G27" s="648"/>
      <c r="H27" s="638"/>
      <c r="I27" s="640"/>
      <c r="J27" s="234" t="s">
        <v>48</v>
      </c>
      <c r="K27" s="235" t="s">
        <v>49</v>
      </c>
      <c r="L27" s="236" t="s">
        <v>50</v>
      </c>
      <c r="M27" s="669"/>
      <c r="N27" s="671"/>
      <c r="O27" s="673"/>
      <c r="P27" s="231" t="s">
        <v>48</v>
      </c>
      <c r="Q27" s="232" t="s">
        <v>49</v>
      </c>
      <c r="R27" s="233" t="s">
        <v>50</v>
      </c>
      <c r="S27" s="648"/>
      <c r="T27" s="638"/>
      <c r="U27" s="640"/>
      <c r="V27" s="231" t="s">
        <v>48</v>
      </c>
      <c r="W27" s="232" t="s">
        <v>49</v>
      </c>
      <c r="X27" s="233" t="s">
        <v>50</v>
      </c>
      <c r="Y27" s="648"/>
      <c r="Z27" s="638"/>
      <c r="AA27" s="640"/>
      <c r="AB27" s="665"/>
      <c r="AC27" s="3"/>
      <c r="AD27" s="3"/>
    </row>
    <row r="28" spans="1:30" x14ac:dyDescent="0.25">
      <c r="A28" s="3"/>
      <c r="B28" s="181" t="s">
        <v>51</v>
      </c>
      <c r="C28" s="182" t="s">
        <v>52</v>
      </c>
      <c r="D28" s="237">
        <v>150</v>
      </c>
      <c r="E28" s="237">
        <v>0</v>
      </c>
      <c r="F28" s="237">
        <v>123.8</v>
      </c>
      <c r="G28" s="238">
        <f>SUM(D28:F28)</f>
        <v>273.8</v>
      </c>
      <c r="H28" s="238">
        <v>0</v>
      </c>
      <c r="I28" s="239">
        <f>G28+H28</f>
        <v>273.8</v>
      </c>
      <c r="J28" s="240">
        <v>150</v>
      </c>
      <c r="K28" s="237">
        <v>0</v>
      </c>
      <c r="L28" s="237">
        <v>100</v>
      </c>
      <c r="M28" s="238">
        <f>SUM(J28:L28)</f>
        <v>250</v>
      </c>
      <c r="N28" s="238">
        <v>0</v>
      </c>
      <c r="O28" s="241">
        <f>M28+N28</f>
        <v>250</v>
      </c>
      <c r="P28" s="240">
        <v>50</v>
      </c>
      <c r="Q28" s="237"/>
      <c r="R28" s="237">
        <v>350</v>
      </c>
      <c r="S28" s="238">
        <f>SUM(P28:R28)</f>
        <v>400</v>
      </c>
      <c r="T28" s="238">
        <v>0</v>
      </c>
      <c r="U28" s="239">
        <f>S28+T28</f>
        <v>400</v>
      </c>
      <c r="V28" s="240">
        <v>250</v>
      </c>
      <c r="W28" s="237">
        <v>0</v>
      </c>
      <c r="X28" s="237">
        <v>350</v>
      </c>
      <c r="Y28" s="238">
        <f>SUM(V28:X28)</f>
        <v>600</v>
      </c>
      <c r="Z28" s="238">
        <v>0</v>
      </c>
      <c r="AA28" s="239">
        <f>Y28+Z28</f>
        <v>600</v>
      </c>
      <c r="AB28" s="190">
        <f t="shared" ref="AB28:AB44" si="12">(AA28/O28)</f>
        <v>2.4</v>
      </c>
      <c r="AC28" s="3"/>
      <c r="AD28" s="3"/>
    </row>
    <row r="29" spans="1:30" x14ac:dyDescent="0.25">
      <c r="A29" s="3"/>
      <c r="B29" s="191" t="s">
        <v>53</v>
      </c>
      <c r="C29" s="206" t="s">
        <v>54</v>
      </c>
      <c r="D29" s="242">
        <v>3250</v>
      </c>
      <c r="E29" s="242">
        <v>1050</v>
      </c>
      <c r="F29" s="242">
        <v>5543.8</v>
      </c>
      <c r="G29" s="243">
        <f t="shared" ref="G29:G41" si="13">SUM(D29:F29)</f>
        <v>9843.7999999999993</v>
      </c>
      <c r="H29" s="243">
        <v>82.8</v>
      </c>
      <c r="I29" s="188">
        <f t="shared" ref="I29:I41" si="14">G29+H29</f>
        <v>9926.5999999999985</v>
      </c>
      <c r="J29" s="244">
        <v>950</v>
      </c>
      <c r="K29" s="242">
        <v>1500</v>
      </c>
      <c r="L29" s="242">
        <v>6000</v>
      </c>
      <c r="M29" s="243">
        <f t="shared" ref="M29:M41" si="15">SUM(J29:L29)</f>
        <v>8450</v>
      </c>
      <c r="N29" s="243">
        <v>70</v>
      </c>
      <c r="O29" s="189">
        <f t="shared" ref="O29:O41" si="16">M29+N29</f>
        <v>8520</v>
      </c>
      <c r="P29" s="244">
        <v>400</v>
      </c>
      <c r="Q29" s="242">
        <v>1700</v>
      </c>
      <c r="R29" s="242">
        <v>1759</v>
      </c>
      <c r="S29" s="243">
        <f t="shared" ref="S29:S41" si="17">SUM(P29:R29)</f>
        <v>3859</v>
      </c>
      <c r="T29" s="243">
        <v>77</v>
      </c>
      <c r="U29" s="188">
        <f t="shared" ref="U29:U41" si="18">S29+T29</f>
        <v>3936</v>
      </c>
      <c r="V29" s="244">
        <v>1050</v>
      </c>
      <c r="W29" s="242">
        <v>1200</v>
      </c>
      <c r="X29" s="242">
        <v>5800</v>
      </c>
      <c r="Y29" s="243">
        <f t="shared" ref="Y29:Y41" si="19">SUM(V29:X29)</f>
        <v>8050</v>
      </c>
      <c r="Z29" s="243">
        <v>194</v>
      </c>
      <c r="AA29" s="188">
        <f t="shared" ref="AA29:AA41" si="20">Y29+Z29</f>
        <v>8244</v>
      </c>
      <c r="AB29" s="190">
        <f t="shared" si="12"/>
        <v>0.96760563380281694</v>
      </c>
      <c r="AC29" s="3"/>
      <c r="AD29" s="3"/>
    </row>
    <row r="30" spans="1:30" x14ac:dyDescent="0.25">
      <c r="A30" s="3"/>
      <c r="B30" s="191" t="s">
        <v>55</v>
      </c>
      <c r="C30" s="206" t="s">
        <v>56</v>
      </c>
      <c r="D30" s="242">
        <v>83</v>
      </c>
      <c r="E30" s="242">
        <v>0</v>
      </c>
      <c r="F30" s="242">
        <v>82</v>
      </c>
      <c r="G30" s="243">
        <f t="shared" si="13"/>
        <v>165</v>
      </c>
      <c r="H30" s="243">
        <v>0</v>
      </c>
      <c r="I30" s="188">
        <f t="shared" si="14"/>
        <v>165</v>
      </c>
      <c r="J30" s="244">
        <v>150</v>
      </c>
      <c r="K30" s="242">
        <v>0</v>
      </c>
      <c r="L30" s="242">
        <v>0</v>
      </c>
      <c r="M30" s="243">
        <f t="shared" si="15"/>
        <v>150</v>
      </c>
      <c r="N30" s="243">
        <v>0</v>
      </c>
      <c r="O30" s="189">
        <f t="shared" si="16"/>
        <v>150</v>
      </c>
      <c r="P30" s="244">
        <v>52</v>
      </c>
      <c r="Q30" s="242">
        <v>0</v>
      </c>
      <c r="R30" s="242">
        <v>0</v>
      </c>
      <c r="S30" s="243">
        <f t="shared" si="17"/>
        <v>52</v>
      </c>
      <c r="T30" s="243">
        <v>0</v>
      </c>
      <c r="U30" s="188">
        <f t="shared" si="18"/>
        <v>52</v>
      </c>
      <c r="V30" s="244">
        <v>70</v>
      </c>
      <c r="W30" s="242">
        <v>0</v>
      </c>
      <c r="X30" s="242">
        <v>40</v>
      </c>
      <c r="Y30" s="243">
        <f t="shared" si="19"/>
        <v>110</v>
      </c>
      <c r="Z30" s="243">
        <v>0</v>
      </c>
      <c r="AA30" s="188">
        <f t="shared" si="20"/>
        <v>110</v>
      </c>
      <c r="AB30" s="190">
        <f t="shared" si="12"/>
        <v>0.73333333333333328</v>
      </c>
      <c r="AC30" s="3"/>
      <c r="AD30" s="3"/>
    </row>
    <row r="31" spans="1:30" x14ac:dyDescent="0.25">
      <c r="A31" s="3"/>
      <c r="B31" s="191" t="s">
        <v>57</v>
      </c>
      <c r="C31" s="206" t="s">
        <v>112</v>
      </c>
      <c r="D31" s="242">
        <v>0</v>
      </c>
      <c r="E31" s="242">
        <v>0</v>
      </c>
      <c r="F31" s="242">
        <v>0</v>
      </c>
      <c r="G31" s="243">
        <f t="shared" si="13"/>
        <v>0</v>
      </c>
      <c r="H31" s="243">
        <v>1.8</v>
      </c>
      <c r="I31" s="188">
        <f t="shared" si="14"/>
        <v>1.8</v>
      </c>
      <c r="J31" s="245">
        <v>0</v>
      </c>
      <c r="K31" s="246">
        <v>0</v>
      </c>
      <c r="L31" s="246">
        <v>0</v>
      </c>
      <c r="M31" s="247">
        <f t="shared" si="15"/>
        <v>0</v>
      </c>
      <c r="N31" s="247">
        <v>0</v>
      </c>
      <c r="O31" s="189">
        <f t="shared" si="16"/>
        <v>0</v>
      </c>
      <c r="P31" s="244">
        <v>0</v>
      </c>
      <c r="Q31" s="242">
        <v>0</v>
      </c>
      <c r="R31" s="242">
        <v>0</v>
      </c>
      <c r="S31" s="243">
        <f t="shared" si="17"/>
        <v>0</v>
      </c>
      <c r="T31" s="243">
        <v>0</v>
      </c>
      <c r="U31" s="188">
        <f t="shared" si="18"/>
        <v>0</v>
      </c>
      <c r="V31" s="244">
        <v>0</v>
      </c>
      <c r="W31" s="242">
        <v>0</v>
      </c>
      <c r="X31" s="242">
        <v>0</v>
      </c>
      <c r="Y31" s="243">
        <f t="shared" si="19"/>
        <v>0</v>
      </c>
      <c r="Z31" s="243">
        <v>0</v>
      </c>
      <c r="AA31" s="188">
        <f t="shared" si="20"/>
        <v>0</v>
      </c>
      <c r="AB31" s="190"/>
      <c r="AC31" s="3"/>
      <c r="AD31" s="3"/>
    </row>
    <row r="32" spans="1:30" x14ac:dyDescent="0.25">
      <c r="A32" s="3"/>
      <c r="B32" s="191" t="s">
        <v>59</v>
      </c>
      <c r="C32" s="206" t="s">
        <v>113</v>
      </c>
      <c r="D32" s="242">
        <v>0</v>
      </c>
      <c r="E32" s="242">
        <v>0</v>
      </c>
      <c r="F32" s="242">
        <v>-6706.9</v>
      </c>
      <c r="G32" s="243">
        <f t="shared" si="13"/>
        <v>-6706.9</v>
      </c>
      <c r="H32" s="243">
        <v>0</v>
      </c>
      <c r="I32" s="188">
        <f t="shared" si="14"/>
        <v>-6706.9</v>
      </c>
      <c r="J32" s="244">
        <v>0</v>
      </c>
      <c r="K32" s="242">
        <v>0</v>
      </c>
      <c r="L32" s="242">
        <v>-3000</v>
      </c>
      <c r="M32" s="243">
        <f t="shared" si="15"/>
        <v>-3000</v>
      </c>
      <c r="N32" s="243">
        <v>0</v>
      </c>
      <c r="O32" s="189">
        <f t="shared" si="16"/>
        <v>-3000</v>
      </c>
      <c r="P32" s="244">
        <v>0</v>
      </c>
      <c r="Q32" s="242">
        <v>0</v>
      </c>
      <c r="R32" s="242">
        <v>-5500</v>
      </c>
      <c r="S32" s="243">
        <f t="shared" si="17"/>
        <v>-5500</v>
      </c>
      <c r="T32" s="243">
        <v>0</v>
      </c>
      <c r="U32" s="188">
        <f t="shared" si="18"/>
        <v>-5500</v>
      </c>
      <c r="V32" s="244">
        <v>0</v>
      </c>
      <c r="W32" s="242">
        <v>0</v>
      </c>
      <c r="X32" s="242">
        <v>-5500</v>
      </c>
      <c r="Y32" s="243">
        <f t="shared" si="19"/>
        <v>-5500</v>
      </c>
      <c r="Z32" s="243">
        <v>0</v>
      </c>
      <c r="AA32" s="188">
        <f t="shared" si="20"/>
        <v>-5500</v>
      </c>
      <c r="AB32" s="190"/>
      <c r="AC32" s="3"/>
      <c r="AD32" s="3"/>
    </row>
    <row r="33" spans="1:30" x14ac:dyDescent="0.25">
      <c r="A33" s="3"/>
      <c r="B33" s="191" t="s">
        <v>61</v>
      </c>
      <c r="C33" s="206" t="s">
        <v>58</v>
      </c>
      <c r="D33" s="242">
        <v>2883.5</v>
      </c>
      <c r="E33" s="242">
        <v>1110.7</v>
      </c>
      <c r="F33" s="242">
        <v>4278.5</v>
      </c>
      <c r="G33" s="243">
        <f t="shared" si="13"/>
        <v>8272.7000000000007</v>
      </c>
      <c r="H33" s="243">
        <v>0</v>
      </c>
      <c r="I33" s="188">
        <f t="shared" si="14"/>
        <v>8272.7000000000007</v>
      </c>
      <c r="J33" s="244">
        <v>1256</v>
      </c>
      <c r="K33" s="242">
        <v>2000</v>
      </c>
      <c r="L33" s="242">
        <v>5200</v>
      </c>
      <c r="M33" s="243">
        <f t="shared" si="15"/>
        <v>8456</v>
      </c>
      <c r="N33" s="243">
        <v>250</v>
      </c>
      <c r="O33" s="189">
        <f t="shared" si="16"/>
        <v>8706</v>
      </c>
      <c r="P33" s="244">
        <v>745</v>
      </c>
      <c r="Q33" s="242">
        <v>1626</v>
      </c>
      <c r="R33" s="242">
        <v>2436</v>
      </c>
      <c r="S33" s="243">
        <f t="shared" si="17"/>
        <v>4807</v>
      </c>
      <c r="T33" s="243">
        <v>5</v>
      </c>
      <c r="U33" s="188">
        <f t="shared" si="18"/>
        <v>4812</v>
      </c>
      <c r="V33" s="244">
        <v>1100</v>
      </c>
      <c r="W33" s="242">
        <v>1800</v>
      </c>
      <c r="X33" s="242">
        <v>5300</v>
      </c>
      <c r="Y33" s="243">
        <f t="shared" si="19"/>
        <v>8200</v>
      </c>
      <c r="Z33" s="243">
        <v>5</v>
      </c>
      <c r="AA33" s="188">
        <f t="shared" si="20"/>
        <v>8205</v>
      </c>
      <c r="AB33" s="190">
        <f t="shared" si="12"/>
        <v>0.94245348035837351</v>
      </c>
      <c r="AC33" s="3"/>
      <c r="AD33" s="3"/>
    </row>
    <row r="34" spans="1:30" x14ac:dyDescent="0.25">
      <c r="A34" s="3"/>
      <c r="B34" s="191" t="s">
        <v>63</v>
      </c>
      <c r="C34" s="206" t="s">
        <v>60</v>
      </c>
      <c r="D34" s="248">
        <v>2673.8</v>
      </c>
      <c r="E34" s="242">
        <v>0</v>
      </c>
      <c r="F34" s="242">
        <v>2000</v>
      </c>
      <c r="G34" s="243">
        <f t="shared" si="13"/>
        <v>4673.8</v>
      </c>
      <c r="H34" s="243">
        <v>174.3</v>
      </c>
      <c r="I34" s="188">
        <f t="shared" si="14"/>
        <v>4848.1000000000004</v>
      </c>
      <c r="J34" s="249">
        <v>5242</v>
      </c>
      <c r="K34" s="242">
        <v>0</v>
      </c>
      <c r="L34" s="242">
        <v>70</v>
      </c>
      <c r="M34" s="243">
        <f t="shared" si="15"/>
        <v>5312</v>
      </c>
      <c r="N34" s="243">
        <v>60</v>
      </c>
      <c r="O34" s="189">
        <f t="shared" si="16"/>
        <v>5372</v>
      </c>
      <c r="P34" s="249">
        <v>2383</v>
      </c>
      <c r="Q34" s="242">
        <v>0</v>
      </c>
      <c r="R34" s="242">
        <v>35</v>
      </c>
      <c r="S34" s="243">
        <f t="shared" si="17"/>
        <v>2418</v>
      </c>
      <c r="T34" s="243">
        <v>134</v>
      </c>
      <c r="U34" s="188">
        <f t="shared" si="18"/>
        <v>2552</v>
      </c>
      <c r="V34" s="249">
        <v>5072</v>
      </c>
      <c r="W34" s="242">
        <v>0</v>
      </c>
      <c r="X34" s="242">
        <v>550</v>
      </c>
      <c r="Y34" s="243">
        <f t="shared" si="19"/>
        <v>5622</v>
      </c>
      <c r="Z34" s="243">
        <v>150</v>
      </c>
      <c r="AA34" s="188">
        <f t="shared" si="20"/>
        <v>5772</v>
      </c>
      <c r="AB34" s="190">
        <f t="shared" si="12"/>
        <v>1.0744601638123603</v>
      </c>
      <c r="AC34" s="3"/>
      <c r="AD34" s="3"/>
    </row>
    <row r="35" spans="1:30" x14ac:dyDescent="0.25">
      <c r="A35" s="3"/>
      <c r="B35" s="191" t="s">
        <v>65</v>
      </c>
      <c r="C35" s="202" t="s">
        <v>62</v>
      </c>
      <c r="D35" s="248">
        <v>2673.8</v>
      </c>
      <c r="E35" s="242">
        <v>0</v>
      </c>
      <c r="F35" s="242">
        <v>1862</v>
      </c>
      <c r="G35" s="243">
        <f t="shared" si="13"/>
        <v>4535.8</v>
      </c>
      <c r="H35" s="243">
        <v>0</v>
      </c>
      <c r="I35" s="188">
        <f t="shared" si="14"/>
        <v>4535.8</v>
      </c>
      <c r="J35" s="249">
        <v>5042</v>
      </c>
      <c r="K35" s="242">
        <v>0</v>
      </c>
      <c r="L35" s="242">
        <v>70</v>
      </c>
      <c r="M35" s="243">
        <f t="shared" si="15"/>
        <v>5112</v>
      </c>
      <c r="N35" s="243">
        <v>60</v>
      </c>
      <c r="O35" s="189">
        <f t="shared" si="16"/>
        <v>5172</v>
      </c>
      <c r="P35" s="249">
        <v>2381</v>
      </c>
      <c r="Q35" s="242">
        <v>0</v>
      </c>
      <c r="R35" s="242">
        <v>35</v>
      </c>
      <c r="S35" s="243">
        <f t="shared" si="17"/>
        <v>2416</v>
      </c>
      <c r="T35" s="243">
        <v>134</v>
      </c>
      <c r="U35" s="188">
        <f t="shared" si="18"/>
        <v>2550</v>
      </c>
      <c r="V35" s="249">
        <v>5072</v>
      </c>
      <c r="W35" s="242">
        <v>0</v>
      </c>
      <c r="X35" s="242">
        <v>350</v>
      </c>
      <c r="Y35" s="243">
        <f t="shared" si="19"/>
        <v>5422</v>
      </c>
      <c r="Z35" s="243">
        <v>150</v>
      </c>
      <c r="AA35" s="188">
        <f t="shared" si="20"/>
        <v>5572</v>
      </c>
      <c r="AB35" s="190">
        <f t="shared" si="12"/>
        <v>1.0773395204949729</v>
      </c>
      <c r="AC35" s="3"/>
      <c r="AD35" s="3"/>
    </row>
    <row r="36" spans="1:30" x14ac:dyDescent="0.25">
      <c r="A36" s="3"/>
      <c r="B36" s="191" t="s">
        <v>67</v>
      </c>
      <c r="C36" s="250" t="s">
        <v>64</v>
      </c>
      <c r="D36" s="248">
        <v>0</v>
      </c>
      <c r="E36" s="242">
        <v>0</v>
      </c>
      <c r="F36" s="242">
        <v>138</v>
      </c>
      <c r="G36" s="243">
        <f t="shared" si="13"/>
        <v>138</v>
      </c>
      <c r="H36" s="243">
        <v>0</v>
      </c>
      <c r="I36" s="188">
        <f t="shared" si="14"/>
        <v>138</v>
      </c>
      <c r="J36" s="249">
        <v>200</v>
      </c>
      <c r="K36" s="242">
        <v>0</v>
      </c>
      <c r="L36" s="242">
        <v>0</v>
      </c>
      <c r="M36" s="243">
        <f t="shared" si="15"/>
        <v>200</v>
      </c>
      <c r="N36" s="243">
        <v>0</v>
      </c>
      <c r="O36" s="189">
        <f t="shared" si="16"/>
        <v>200</v>
      </c>
      <c r="P36" s="249">
        <v>2</v>
      </c>
      <c r="Q36" s="242">
        <v>0</v>
      </c>
      <c r="R36" s="242">
        <v>0</v>
      </c>
      <c r="S36" s="243">
        <f t="shared" si="17"/>
        <v>2</v>
      </c>
      <c r="T36" s="243">
        <v>0</v>
      </c>
      <c r="U36" s="188">
        <f t="shared" si="18"/>
        <v>2</v>
      </c>
      <c r="V36" s="249">
        <v>0</v>
      </c>
      <c r="W36" s="242">
        <v>0</v>
      </c>
      <c r="X36" s="242">
        <v>200</v>
      </c>
      <c r="Y36" s="243">
        <f t="shared" si="19"/>
        <v>200</v>
      </c>
      <c r="Z36" s="243">
        <v>0</v>
      </c>
      <c r="AA36" s="188">
        <f t="shared" si="20"/>
        <v>200</v>
      </c>
      <c r="AB36" s="190">
        <f t="shared" si="12"/>
        <v>1</v>
      </c>
      <c r="AC36" s="3"/>
      <c r="AD36" s="3"/>
    </row>
    <row r="37" spans="1:30" x14ac:dyDescent="0.25">
      <c r="A37" s="3"/>
      <c r="B37" s="191" t="s">
        <v>69</v>
      </c>
      <c r="C37" s="206" t="s">
        <v>66</v>
      </c>
      <c r="D37" s="248">
        <v>1058.4000000000001</v>
      </c>
      <c r="E37" s="242">
        <v>0</v>
      </c>
      <c r="F37" s="242">
        <v>496</v>
      </c>
      <c r="G37" s="243">
        <f t="shared" si="13"/>
        <v>1554.4</v>
      </c>
      <c r="H37" s="243">
        <v>59.4</v>
      </c>
      <c r="I37" s="188">
        <f t="shared" si="14"/>
        <v>1613.8000000000002</v>
      </c>
      <c r="J37" s="249">
        <v>1772</v>
      </c>
      <c r="K37" s="242">
        <v>0</v>
      </c>
      <c r="L37" s="242">
        <v>24</v>
      </c>
      <c r="M37" s="243">
        <f t="shared" si="15"/>
        <v>1796</v>
      </c>
      <c r="N37" s="243">
        <v>20</v>
      </c>
      <c r="O37" s="189">
        <f t="shared" si="16"/>
        <v>1816</v>
      </c>
      <c r="P37" s="249">
        <v>806</v>
      </c>
      <c r="Q37" s="242">
        <v>0</v>
      </c>
      <c r="R37" s="242">
        <v>11</v>
      </c>
      <c r="S37" s="243">
        <f t="shared" si="17"/>
        <v>817</v>
      </c>
      <c r="T37" s="243">
        <v>45</v>
      </c>
      <c r="U37" s="188">
        <f t="shared" si="18"/>
        <v>862</v>
      </c>
      <c r="V37" s="249">
        <v>1714</v>
      </c>
      <c r="W37" s="242">
        <v>0</v>
      </c>
      <c r="X37" s="242">
        <v>186</v>
      </c>
      <c r="Y37" s="243">
        <f t="shared" si="19"/>
        <v>1900</v>
      </c>
      <c r="Z37" s="243">
        <v>51</v>
      </c>
      <c r="AA37" s="188">
        <f t="shared" si="20"/>
        <v>1951</v>
      </c>
      <c r="AB37" s="190">
        <f t="shared" si="12"/>
        <v>1.0743392070484581</v>
      </c>
      <c r="AC37" s="3"/>
      <c r="AD37" s="3"/>
    </row>
    <row r="38" spans="1:30" x14ac:dyDescent="0.25">
      <c r="A38" s="3"/>
      <c r="B38" s="191" t="s">
        <v>71</v>
      </c>
      <c r="C38" s="206" t="s">
        <v>68</v>
      </c>
      <c r="D38" s="242">
        <v>0</v>
      </c>
      <c r="E38" s="242">
        <v>0</v>
      </c>
      <c r="F38" s="242">
        <v>5.3</v>
      </c>
      <c r="G38" s="243">
        <f t="shared" si="13"/>
        <v>5.3</v>
      </c>
      <c r="H38" s="243">
        <v>0</v>
      </c>
      <c r="I38" s="188">
        <f t="shared" si="14"/>
        <v>5.3</v>
      </c>
      <c r="J38" s="244">
        <v>20</v>
      </c>
      <c r="K38" s="242">
        <v>0</v>
      </c>
      <c r="L38" s="242">
        <v>0</v>
      </c>
      <c r="M38" s="243">
        <f t="shared" si="15"/>
        <v>20</v>
      </c>
      <c r="N38" s="243">
        <v>0</v>
      </c>
      <c r="O38" s="189">
        <f t="shared" si="16"/>
        <v>20</v>
      </c>
      <c r="P38" s="244">
        <v>0</v>
      </c>
      <c r="Q38" s="242">
        <v>0</v>
      </c>
      <c r="R38" s="242">
        <v>6</v>
      </c>
      <c r="S38" s="243">
        <f t="shared" si="17"/>
        <v>6</v>
      </c>
      <c r="T38" s="243">
        <v>0</v>
      </c>
      <c r="U38" s="188">
        <f t="shared" si="18"/>
        <v>6</v>
      </c>
      <c r="V38" s="244">
        <v>20</v>
      </c>
      <c r="W38" s="242">
        <v>0</v>
      </c>
      <c r="X38" s="242">
        <v>0</v>
      </c>
      <c r="Y38" s="243">
        <f t="shared" si="19"/>
        <v>20</v>
      </c>
      <c r="Z38" s="243">
        <v>0</v>
      </c>
      <c r="AA38" s="188">
        <f t="shared" si="20"/>
        <v>20</v>
      </c>
      <c r="AB38" s="190">
        <f t="shared" si="12"/>
        <v>1</v>
      </c>
      <c r="AC38" s="3"/>
      <c r="AD38" s="3"/>
    </row>
    <row r="39" spans="1:30" x14ac:dyDescent="0.25">
      <c r="A39" s="3"/>
      <c r="B39" s="191" t="s">
        <v>114</v>
      </c>
      <c r="C39" s="206" t="s">
        <v>70</v>
      </c>
      <c r="D39" s="242">
        <v>1351.3</v>
      </c>
      <c r="E39" s="242">
        <v>0</v>
      </c>
      <c r="F39" s="242">
        <v>0</v>
      </c>
      <c r="G39" s="243">
        <f t="shared" si="13"/>
        <v>1351.3</v>
      </c>
      <c r="H39" s="243">
        <v>0</v>
      </c>
      <c r="I39" s="188">
        <f t="shared" si="14"/>
        <v>1351.3</v>
      </c>
      <c r="J39" s="244">
        <v>1330</v>
      </c>
      <c r="K39" s="242">
        <v>0</v>
      </c>
      <c r="L39" s="242">
        <v>0</v>
      </c>
      <c r="M39" s="243">
        <f t="shared" si="15"/>
        <v>1330</v>
      </c>
      <c r="N39" s="243">
        <v>0</v>
      </c>
      <c r="O39" s="189">
        <f t="shared" si="16"/>
        <v>1330</v>
      </c>
      <c r="P39" s="244">
        <v>772</v>
      </c>
      <c r="Q39" s="242">
        <v>0</v>
      </c>
      <c r="R39" s="242">
        <v>0</v>
      </c>
      <c r="S39" s="243">
        <f t="shared" si="17"/>
        <v>772</v>
      </c>
      <c r="T39" s="243">
        <v>0</v>
      </c>
      <c r="U39" s="188">
        <f t="shared" si="18"/>
        <v>772</v>
      </c>
      <c r="V39" s="244">
        <v>1570</v>
      </c>
      <c r="W39" s="242">
        <v>0</v>
      </c>
      <c r="X39" s="242">
        <v>0</v>
      </c>
      <c r="Y39" s="243">
        <f t="shared" si="19"/>
        <v>1570</v>
      </c>
      <c r="Z39" s="243">
        <v>0</v>
      </c>
      <c r="AA39" s="188">
        <f t="shared" si="20"/>
        <v>1570</v>
      </c>
      <c r="AB39" s="190">
        <f t="shared" si="12"/>
        <v>1.1804511278195489</v>
      </c>
      <c r="AC39" s="3"/>
      <c r="AD39" s="3"/>
    </row>
    <row r="40" spans="1:30" x14ac:dyDescent="0.25">
      <c r="A40" s="3"/>
      <c r="B40" s="191" t="s">
        <v>73</v>
      </c>
      <c r="C40" s="251" t="s">
        <v>115</v>
      </c>
      <c r="D40" s="85">
        <v>0</v>
      </c>
      <c r="E40" s="85">
        <v>0</v>
      </c>
      <c r="F40" s="85">
        <v>1310.3</v>
      </c>
      <c r="G40" s="243">
        <f t="shared" si="13"/>
        <v>1310.3</v>
      </c>
      <c r="H40" s="252">
        <v>0</v>
      </c>
      <c r="I40" s="188">
        <f t="shared" si="14"/>
        <v>1310.3</v>
      </c>
      <c r="J40" s="253">
        <v>0</v>
      </c>
      <c r="K40" s="85">
        <v>0</v>
      </c>
      <c r="L40" s="85">
        <v>-3000</v>
      </c>
      <c r="M40" s="252">
        <f t="shared" si="15"/>
        <v>-3000</v>
      </c>
      <c r="N40" s="252">
        <v>0</v>
      </c>
      <c r="O40" s="189">
        <f t="shared" si="16"/>
        <v>-3000</v>
      </c>
      <c r="P40" s="253">
        <v>0</v>
      </c>
      <c r="Q40" s="85">
        <v>0</v>
      </c>
      <c r="R40" s="85">
        <v>0</v>
      </c>
      <c r="S40" s="252">
        <v>0</v>
      </c>
      <c r="T40" s="252">
        <v>0</v>
      </c>
      <c r="U40" s="188">
        <f t="shared" si="18"/>
        <v>0</v>
      </c>
      <c r="V40" s="253">
        <v>0</v>
      </c>
      <c r="W40" s="85">
        <v>0</v>
      </c>
      <c r="X40" s="85">
        <v>550</v>
      </c>
      <c r="Y40" s="243">
        <f t="shared" si="19"/>
        <v>550</v>
      </c>
      <c r="Z40" s="252">
        <v>0</v>
      </c>
      <c r="AA40" s="188">
        <f t="shared" si="20"/>
        <v>550</v>
      </c>
      <c r="AB40" s="254"/>
      <c r="AC40" s="3"/>
      <c r="AD40" s="3"/>
    </row>
    <row r="41" spans="1:30" ht="15.75" thickBot="1" x14ac:dyDescent="0.3">
      <c r="A41" s="3"/>
      <c r="B41" s="191" t="s">
        <v>116</v>
      </c>
      <c r="C41" s="251" t="s">
        <v>72</v>
      </c>
      <c r="D41" s="85">
        <v>550</v>
      </c>
      <c r="E41" s="85">
        <v>0</v>
      </c>
      <c r="F41" s="85">
        <v>1563.4</v>
      </c>
      <c r="G41" s="243">
        <f t="shared" si="13"/>
        <v>2113.4</v>
      </c>
      <c r="H41" s="252">
        <v>0</v>
      </c>
      <c r="I41" s="215">
        <f t="shared" si="14"/>
        <v>2113.4</v>
      </c>
      <c r="J41" s="253">
        <v>130</v>
      </c>
      <c r="K41" s="85">
        <v>0</v>
      </c>
      <c r="L41" s="85">
        <v>2313</v>
      </c>
      <c r="M41" s="252">
        <f t="shared" si="15"/>
        <v>2443</v>
      </c>
      <c r="N41" s="252">
        <v>0</v>
      </c>
      <c r="O41" s="216">
        <f t="shared" si="16"/>
        <v>2443</v>
      </c>
      <c r="P41" s="253">
        <v>292</v>
      </c>
      <c r="Q41" s="85">
        <v>0</v>
      </c>
      <c r="R41" s="85">
        <v>855</v>
      </c>
      <c r="S41" s="252">
        <f t="shared" si="17"/>
        <v>1147</v>
      </c>
      <c r="T41" s="252"/>
      <c r="U41" s="215">
        <f t="shared" si="18"/>
        <v>1147</v>
      </c>
      <c r="V41" s="253">
        <v>154</v>
      </c>
      <c r="W41" s="85">
        <v>0</v>
      </c>
      <c r="X41" s="85">
        <v>1727</v>
      </c>
      <c r="Y41" s="252">
        <f t="shared" si="19"/>
        <v>1881</v>
      </c>
      <c r="Z41" s="252">
        <v>0</v>
      </c>
      <c r="AA41" s="215">
        <f t="shared" si="20"/>
        <v>1881</v>
      </c>
      <c r="AB41" s="217">
        <f t="shared" si="12"/>
        <v>0.76995497339336882</v>
      </c>
      <c r="AC41" s="3"/>
      <c r="AD41" s="3"/>
    </row>
    <row r="42" spans="1:30" ht="15.75" thickBot="1" x14ac:dyDescent="0.3">
      <c r="A42" s="3"/>
      <c r="B42" s="218" t="s">
        <v>75</v>
      </c>
      <c r="C42" s="255" t="s">
        <v>74</v>
      </c>
      <c r="D42" s="256">
        <f>SUM(D37:D41)+SUM(D28:D34)</f>
        <v>12000</v>
      </c>
      <c r="E42" s="256">
        <f>SUM(E37:E41)+SUM(E28:E34)</f>
        <v>2160.6999999999998</v>
      </c>
      <c r="F42" s="256">
        <f>SUM(F37:F41)+SUM(F28:F34)</f>
        <v>8696.2000000000007</v>
      </c>
      <c r="G42" s="257">
        <f>SUM(D42:F42)</f>
        <v>22856.9</v>
      </c>
      <c r="H42" s="258">
        <f>SUM(H28:H34)+SUM(H37:H41)</f>
        <v>318.29999999999995</v>
      </c>
      <c r="I42" s="259">
        <f>SUM(I37:I41)+SUM(I28:I34)</f>
        <v>23175.199999999997</v>
      </c>
      <c r="J42" s="260">
        <f>SUM(J37:J41)+SUM(J28:J34)</f>
        <v>11000</v>
      </c>
      <c r="K42" s="260">
        <f>SUM(K37:K41)+SUM(K28:K34)</f>
        <v>3500</v>
      </c>
      <c r="L42" s="260">
        <f>SUM(L37:L41)+SUM(L28:L34)</f>
        <v>7707</v>
      </c>
      <c r="M42" s="261">
        <f>SUM(J42:L42)</f>
        <v>22207</v>
      </c>
      <c r="N42" s="262">
        <f>SUM(N28:N34)+SUM(N37:N41)</f>
        <v>400</v>
      </c>
      <c r="O42" s="263">
        <f>SUM(O37:O41)+SUM(O28:O34)</f>
        <v>22607</v>
      </c>
      <c r="P42" s="256">
        <f>SUM(P37:P41)+SUM(P28:P34)</f>
        <v>5500</v>
      </c>
      <c r="Q42" s="256">
        <f>SUM(Q37:Q41)+SUM(Q28:Q34)</f>
        <v>3326</v>
      </c>
      <c r="R42" s="256">
        <f>SUM(R37:R41)+SUM(R28:R34)</f>
        <v>-48</v>
      </c>
      <c r="S42" s="257">
        <f>SUM(P42:R42)</f>
        <v>8778</v>
      </c>
      <c r="T42" s="258">
        <f>SUM(T28:T34)+SUM(T37:T41)</f>
        <v>261</v>
      </c>
      <c r="U42" s="259">
        <f>SUM(U37:U41)+SUM(U28:U34)</f>
        <v>9039</v>
      </c>
      <c r="V42" s="256">
        <f>SUM(V37:V41)+SUM(V28:V34)</f>
        <v>11000</v>
      </c>
      <c r="W42" s="256">
        <f>SUM(W37:W41)+SUM(W28:W34)</f>
        <v>3000</v>
      </c>
      <c r="X42" s="256">
        <f>SUM(X37:X41)+SUM(X28:X34)</f>
        <v>9003</v>
      </c>
      <c r="Y42" s="257">
        <f>SUM(V42:X42)</f>
        <v>23003</v>
      </c>
      <c r="Z42" s="258">
        <f>SUM(Z28:Z34)+SUM(Z37:Z41)</f>
        <v>400</v>
      </c>
      <c r="AA42" s="259">
        <f>SUM(AA37:AA41)+SUM(AA28:AA34)</f>
        <v>23403</v>
      </c>
      <c r="AB42" s="264">
        <f t="shared" si="12"/>
        <v>1.0352103330826734</v>
      </c>
      <c r="AC42" s="3"/>
      <c r="AD42" s="3"/>
    </row>
    <row r="43" spans="1:30" ht="19.5" thickBot="1" x14ac:dyDescent="0.35">
      <c r="A43" s="3"/>
      <c r="B43" s="265" t="s">
        <v>77</v>
      </c>
      <c r="C43" s="266" t="s">
        <v>76</v>
      </c>
      <c r="D43" s="267">
        <f t="shared" ref="D43:AA43" si="21">D24-D42</f>
        <v>0</v>
      </c>
      <c r="E43" s="267">
        <f t="shared" si="21"/>
        <v>0</v>
      </c>
      <c r="F43" s="267">
        <f t="shared" si="21"/>
        <v>2190.2999999999993</v>
      </c>
      <c r="G43" s="268">
        <f t="shared" si="21"/>
        <v>2190.2999999999993</v>
      </c>
      <c r="H43" s="268">
        <f t="shared" si="21"/>
        <v>13.200000000000045</v>
      </c>
      <c r="I43" s="269">
        <f t="shared" si="21"/>
        <v>2203.5000000000036</v>
      </c>
      <c r="J43" s="267">
        <f t="shared" si="21"/>
        <v>0</v>
      </c>
      <c r="K43" s="267">
        <f t="shared" si="21"/>
        <v>0</v>
      </c>
      <c r="L43" s="267">
        <f t="shared" si="21"/>
        <v>0</v>
      </c>
      <c r="M43" s="270">
        <f t="shared" si="21"/>
        <v>0</v>
      </c>
      <c r="N43" s="270">
        <f t="shared" si="21"/>
        <v>0</v>
      </c>
      <c r="O43" s="271">
        <f t="shared" si="21"/>
        <v>0</v>
      </c>
      <c r="P43" s="267">
        <f t="shared" si="21"/>
        <v>0</v>
      </c>
      <c r="Q43" s="267">
        <f t="shared" si="21"/>
        <v>0</v>
      </c>
      <c r="R43" s="267">
        <f t="shared" si="21"/>
        <v>6411</v>
      </c>
      <c r="S43" s="268">
        <f t="shared" si="21"/>
        <v>6411</v>
      </c>
      <c r="T43" s="268">
        <f t="shared" si="21"/>
        <v>131</v>
      </c>
      <c r="U43" s="269">
        <f t="shared" si="21"/>
        <v>6542</v>
      </c>
      <c r="V43" s="267">
        <f t="shared" si="21"/>
        <v>0</v>
      </c>
      <c r="W43" s="267">
        <f t="shared" si="21"/>
        <v>0</v>
      </c>
      <c r="X43" s="267">
        <f t="shared" si="21"/>
        <v>0</v>
      </c>
      <c r="Y43" s="268">
        <f t="shared" si="21"/>
        <v>0</v>
      </c>
      <c r="Z43" s="268">
        <f t="shared" si="21"/>
        <v>0</v>
      </c>
      <c r="AA43" s="269">
        <f t="shared" si="21"/>
        <v>0</v>
      </c>
      <c r="AB43" s="272" t="e">
        <f t="shared" si="12"/>
        <v>#DIV/0!</v>
      </c>
      <c r="AC43" s="3"/>
      <c r="AD43" s="3"/>
    </row>
    <row r="44" spans="1:30" ht="15.75" thickBot="1" x14ac:dyDescent="0.3">
      <c r="A44" s="3"/>
      <c r="B44" s="273" t="s">
        <v>117</v>
      </c>
      <c r="C44" s="274" t="s">
        <v>78</v>
      </c>
      <c r="D44" s="275"/>
      <c r="E44" s="276"/>
      <c r="F44" s="276"/>
      <c r="G44" s="277"/>
      <c r="H44" s="278"/>
      <c r="I44" s="279">
        <f>I43-D16</f>
        <v>-9796.4999999999964</v>
      </c>
      <c r="J44" s="275"/>
      <c r="K44" s="276"/>
      <c r="L44" s="276"/>
      <c r="M44" s="277"/>
      <c r="N44" s="280"/>
      <c r="O44" s="279">
        <f>O43-J16</f>
        <v>-11000</v>
      </c>
      <c r="P44" s="275"/>
      <c r="Q44" s="276"/>
      <c r="R44" s="276"/>
      <c r="S44" s="277"/>
      <c r="T44" s="280"/>
      <c r="U44" s="279">
        <f>U43-P16</f>
        <v>1042</v>
      </c>
      <c r="V44" s="275"/>
      <c r="W44" s="276"/>
      <c r="X44" s="276"/>
      <c r="Y44" s="277"/>
      <c r="Z44" s="280"/>
      <c r="AA44" s="279">
        <f>AA43-V16</f>
        <v>-11000</v>
      </c>
      <c r="AB44" s="190">
        <f t="shared" si="12"/>
        <v>1</v>
      </c>
      <c r="AC44" s="3"/>
      <c r="AD44" s="3"/>
    </row>
    <row r="45" spans="1:30" ht="8.25" customHeight="1" thickBot="1" x14ac:dyDescent="0.3">
      <c r="A45" s="3"/>
      <c r="B45" s="281"/>
      <c r="C45" s="282"/>
      <c r="D45" s="283"/>
      <c r="E45" s="284"/>
      <c r="F45" s="284"/>
      <c r="G45" s="3"/>
      <c r="H45" s="284"/>
      <c r="I45" s="284"/>
      <c r="J45" s="283"/>
      <c r="K45" s="284"/>
      <c r="L45" s="284"/>
      <c r="M45" s="3"/>
      <c r="N45" s="284"/>
      <c r="O45" s="284"/>
      <c r="P45" s="284"/>
      <c r="Q45" s="284"/>
      <c r="R45" s="284"/>
      <c r="S45" s="284"/>
      <c r="T45" s="284"/>
      <c r="U45" s="284"/>
      <c r="V45" s="3"/>
      <c r="W45" s="3"/>
      <c r="X45" s="3"/>
      <c r="Y45" s="3"/>
      <c r="Z45" s="3"/>
      <c r="AA45" s="3"/>
      <c r="AB45" s="3"/>
      <c r="AC45" s="3"/>
      <c r="AD45" s="3"/>
    </row>
    <row r="46" spans="1:30" ht="15.75" customHeight="1" thickBot="1" x14ac:dyDescent="0.3">
      <c r="A46" s="3"/>
      <c r="B46" s="281"/>
      <c r="C46" s="641" t="s">
        <v>79</v>
      </c>
      <c r="D46" s="123" t="s">
        <v>80</v>
      </c>
      <c r="E46" s="285" t="s">
        <v>81</v>
      </c>
      <c r="F46" s="286" t="s">
        <v>82</v>
      </c>
      <c r="G46" s="284"/>
      <c r="H46" s="284"/>
      <c r="I46" s="287"/>
      <c r="J46" s="123" t="s">
        <v>80</v>
      </c>
      <c r="K46" s="285" t="s">
        <v>81</v>
      </c>
      <c r="L46" s="286" t="s">
        <v>82</v>
      </c>
      <c r="M46" s="284"/>
      <c r="N46" s="284"/>
      <c r="O46" s="284"/>
      <c r="P46" s="123" t="s">
        <v>80</v>
      </c>
      <c r="Q46" s="285" t="s">
        <v>81</v>
      </c>
      <c r="R46" s="286" t="s">
        <v>82</v>
      </c>
      <c r="S46" s="3"/>
      <c r="T46" s="3"/>
      <c r="U46" s="3"/>
      <c r="V46" s="123" t="s">
        <v>80</v>
      </c>
      <c r="W46" s="285" t="s">
        <v>81</v>
      </c>
      <c r="X46" s="286" t="s">
        <v>82</v>
      </c>
      <c r="Y46" s="3"/>
      <c r="Z46" s="3"/>
      <c r="AA46" s="3"/>
      <c r="AB46" s="3"/>
      <c r="AC46" s="3"/>
      <c r="AD46" s="3"/>
    </row>
    <row r="47" spans="1:30" ht="15.75" thickBot="1" x14ac:dyDescent="0.3">
      <c r="A47" s="3"/>
      <c r="B47" s="281"/>
      <c r="C47" s="642"/>
      <c r="D47" s="288"/>
      <c r="E47" s="289"/>
      <c r="F47" s="290">
        <v>0</v>
      </c>
      <c r="G47" s="284"/>
      <c r="H47" s="284"/>
      <c r="I47" s="287"/>
      <c r="J47" s="288"/>
      <c r="K47" s="289"/>
      <c r="L47" s="290">
        <v>0</v>
      </c>
      <c r="M47" s="291"/>
      <c r="N47" s="291"/>
      <c r="O47" s="291"/>
      <c r="P47" s="288"/>
      <c r="Q47" s="289"/>
      <c r="R47" s="290">
        <v>0</v>
      </c>
      <c r="S47" s="3"/>
      <c r="T47" s="3"/>
      <c r="U47" s="3"/>
      <c r="V47" s="288"/>
      <c r="W47" s="289"/>
      <c r="X47" s="290">
        <v>0</v>
      </c>
      <c r="Y47" s="3"/>
      <c r="Z47" s="3"/>
      <c r="AA47" s="3"/>
      <c r="AB47" s="3"/>
      <c r="AC47" s="3"/>
      <c r="AD47" s="3"/>
    </row>
    <row r="48" spans="1:30" ht="8.25" customHeight="1" thickBot="1" x14ac:dyDescent="0.3">
      <c r="A48" s="3"/>
      <c r="B48" s="281"/>
      <c r="C48" s="282"/>
      <c r="D48" s="291"/>
      <c r="E48" s="284"/>
      <c r="F48" s="284"/>
      <c r="G48" s="284"/>
      <c r="H48" s="284"/>
      <c r="I48" s="287"/>
      <c r="J48" s="284"/>
      <c r="K48" s="284"/>
      <c r="L48" s="284"/>
      <c r="M48" s="284"/>
      <c r="N48" s="284"/>
      <c r="O48" s="287"/>
      <c r="P48" s="287"/>
      <c r="Q48" s="287"/>
      <c r="R48" s="287"/>
      <c r="S48" s="287"/>
      <c r="T48" s="287"/>
      <c r="U48" s="287"/>
      <c r="V48" s="3"/>
      <c r="W48" s="3"/>
      <c r="X48" s="3"/>
      <c r="Y48" s="3"/>
      <c r="Z48" s="3"/>
      <c r="AA48" s="3"/>
      <c r="AB48" s="3"/>
      <c r="AC48" s="3"/>
      <c r="AD48" s="3"/>
    </row>
    <row r="49" spans="1:30" ht="37.5" customHeight="1" thickBot="1" x14ac:dyDescent="0.3">
      <c r="A49" s="3"/>
      <c r="B49" s="281"/>
      <c r="C49" s="641" t="s">
        <v>83</v>
      </c>
      <c r="D49" s="131" t="s">
        <v>84</v>
      </c>
      <c r="E49" s="292" t="s">
        <v>85</v>
      </c>
      <c r="F49" s="284"/>
      <c r="G49" s="284"/>
      <c r="H49" s="284"/>
      <c r="I49" s="287"/>
      <c r="J49" s="131" t="s">
        <v>84</v>
      </c>
      <c r="K49" s="292" t="s">
        <v>85</v>
      </c>
      <c r="L49" s="293"/>
      <c r="M49" s="293"/>
      <c r="N49" s="3"/>
      <c r="O49" s="3"/>
      <c r="P49" s="131" t="s">
        <v>84</v>
      </c>
      <c r="Q49" s="292" t="s">
        <v>85</v>
      </c>
      <c r="R49" s="3"/>
      <c r="S49" s="3"/>
      <c r="T49" s="3"/>
      <c r="U49" s="3"/>
      <c r="V49" s="131" t="s">
        <v>84</v>
      </c>
      <c r="W49" s="292" t="s">
        <v>85</v>
      </c>
      <c r="X49" s="3"/>
      <c r="Y49" s="3"/>
      <c r="Z49" s="3"/>
      <c r="AA49" s="3"/>
      <c r="AB49" s="3"/>
      <c r="AC49" s="3"/>
      <c r="AD49" s="3"/>
    </row>
    <row r="50" spans="1:30" ht="15.75" thickBot="1" x14ac:dyDescent="0.3">
      <c r="A50" s="3"/>
      <c r="B50" s="294"/>
      <c r="C50" s="643"/>
      <c r="D50" s="288">
        <v>0</v>
      </c>
      <c r="E50" s="295">
        <v>0</v>
      </c>
      <c r="F50" s="284"/>
      <c r="G50" s="284"/>
      <c r="H50" s="284"/>
      <c r="I50" s="287"/>
      <c r="J50" s="288">
        <v>0</v>
      </c>
      <c r="K50" s="295">
        <v>0</v>
      </c>
      <c r="L50" s="296"/>
      <c r="M50" s="296"/>
      <c r="N50" s="3"/>
      <c r="O50" s="3"/>
      <c r="P50" s="288">
        <v>0</v>
      </c>
      <c r="Q50" s="295">
        <v>0</v>
      </c>
      <c r="R50" s="3"/>
      <c r="S50" s="3"/>
      <c r="T50" s="3"/>
      <c r="U50" s="3"/>
      <c r="V50" s="288">
        <v>0</v>
      </c>
      <c r="W50" s="295">
        <v>0</v>
      </c>
      <c r="X50" s="3"/>
      <c r="Y50" s="3"/>
      <c r="Z50" s="3"/>
      <c r="AA50" s="3"/>
      <c r="AB50" s="3"/>
      <c r="AC50" s="3"/>
      <c r="AD50" s="3"/>
    </row>
    <row r="51" spans="1:30" x14ac:dyDescent="0.25">
      <c r="A51" s="3"/>
      <c r="B51" s="294"/>
      <c r="C51" s="282"/>
      <c r="D51" s="284"/>
      <c r="E51" s="284"/>
      <c r="F51" s="284"/>
      <c r="G51" s="284"/>
      <c r="H51" s="284"/>
      <c r="I51" s="287"/>
      <c r="J51" s="284"/>
      <c r="K51" s="284"/>
      <c r="L51" s="284"/>
      <c r="M51" s="284"/>
      <c r="N51" s="284"/>
      <c r="O51" s="287"/>
      <c r="P51" s="287"/>
      <c r="Q51" s="287"/>
      <c r="R51" s="287"/>
      <c r="S51" s="287"/>
      <c r="T51" s="287"/>
      <c r="U51" s="287"/>
      <c r="V51" s="3"/>
      <c r="W51" s="3"/>
      <c r="X51" s="3"/>
      <c r="Y51" s="3"/>
      <c r="Z51" s="3"/>
      <c r="AA51" s="3"/>
      <c r="AB51" s="3"/>
      <c r="AC51" s="3"/>
      <c r="AD51" s="3"/>
    </row>
    <row r="52" spans="1:30" x14ac:dyDescent="0.25">
      <c r="A52" s="3"/>
      <c r="B52" s="294"/>
      <c r="C52" s="297" t="s">
        <v>86</v>
      </c>
      <c r="D52" s="298" t="s">
        <v>87</v>
      </c>
      <c r="E52" s="298" t="s">
        <v>88</v>
      </c>
      <c r="F52" s="298" t="s">
        <v>89</v>
      </c>
      <c r="G52" s="298" t="s">
        <v>90</v>
      </c>
      <c r="H52" s="284"/>
      <c r="I52" s="3"/>
      <c r="J52" s="298" t="s">
        <v>87</v>
      </c>
      <c r="K52" s="298" t="s">
        <v>88</v>
      </c>
      <c r="L52" s="298" t="s">
        <v>89</v>
      </c>
      <c r="M52" s="298" t="s">
        <v>91</v>
      </c>
      <c r="N52" s="3"/>
      <c r="O52" s="3"/>
      <c r="P52" s="298" t="s">
        <v>87</v>
      </c>
      <c r="Q52" s="298" t="s">
        <v>88</v>
      </c>
      <c r="R52" s="298" t="s">
        <v>89</v>
      </c>
      <c r="S52" s="298" t="s">
        <v>91</v>
      </c>
      <c r="T52" s="3"/>
      <c r="U52" s="3"/>
      <c r="V52" s="298" t="s">
        <v>92</v>
      </c>
      <c r="W52" s="298" t="s">
        <v>88</v>
      </c>
      <c r="X52" s="298" t="s">
        <v>89</v>
      </c>
      <c r="Y52" s="298" t="s">
        <v>91</v>
      </c>
      <c r="Z52" s="3"/>
      <c r="AA52" s="3"/>
      <c r="AB52" s="3"/>
      <c r="AC52" s="3"/>
      <c r="AD52" s="3"/>
    </row>
    <row r="53" spans="1:30" x14ac:dyDescent="0.25">
      <c r="A53" s="3"/>
      <c r="B53" s="294"/>
      <c r="C53" s="299" t="s">
        <v>93</v>
      </c>
      <c r="D53" s="300"/>
      <c r="E53" s="300"/>
      <c r="F53" s="300"/>
      <c r="G53" s="301">
        <f>D53+E53-F53</f>
        <v>0</v>
      </c>
      <c r="H53" s="284"/>
      <c r="I53" s="3"/>
      <c r="J53" s="301"/>
      <c r="K53" s="300"/>
      <c r="L53" s="300"/>
      <c r="M53" s="301">
        <f>J53+K53-L53</f>
        <v>0</v>
      </c>
      <c r="N53" s="3"/>
      <c r="O53" s="3"/>
      <c r="P53" s="300"/>
      <c r="Q53" s="300"/>
      <c r="R53" s="300"/>
      <c r="S53" s="301">
        <f>P53+Q53-R53</f>
        <v>0</v>
      </c>
      <c r="T53" s="3"/>
      <c r="U53" s="3"/>
      <c r="V53" s="300"/>
      <c r="W53" s="300"/>
      <c r="X53" s="300"/>
      <c r="Y53" s="301">
        <f>V53+W53-X53</f>
        <v>0</v>
      </c>
      <c r="Z53" s="3"/>
      <c r="AA53" s="3"/>
      <c r="AB53" s="3"/>
      <c r="AC53" s="3"/>
      <c r="AD53" s="3"/>
    </row>
    <row r="54" spans="1:30" x14ac:dyDescent="0.25">
      <c r="A54" s="3"/>
      <c r="B54" s="294"/>
      <c r="C54" s="299" t="s">
        <v>94</v>
      </c>
      <c r="D54" s="300">
        <v>4723.5</v>
      </c>
      <c r="E54" s="300">
        <v>647.20000000000005</v>
      </c>
      <c r="F54" s="300">
        <v>1600</v>
      </c>
      <c r="G54" s="301">
        <f t="shared" ref="G54:G57" si="22">D54+E54-F54</f>
        <v>3770.7</v>
      </c>
      <c r="H54" s="284"/>
      <c r="I54" s="3"/>
      <c r="J54" s="300">
        <v>3770.7</v>
      </c>
      <c r="K54" s="300">
        <v>2203.5500000000002</v>
      </c>
      <c r="L54" s="300">
        <v>0</v>
      </c>
      <c r="M54" s="301">
        <f t="shared" ref="M54:M56" si="23">J54+K54-L54</f>
        <v>5974.25</v>
      </c>
      <c r="N54" s="3"/>
      <c r="O54" s="3"/>
      <c r="P54" s="300">
        <v>3770.7</v>
      </c>
      <c r="Q54" s="300">
        <v>2203.5500000000002</v>
      </c>
      <c r="R54" s="300">
        <v>0</v>
      </c>
      <c r="S54" s="301">
        <f t="shared" ref="S54:S57" si="24">P54+Q54-R54</f>
        <v>5974.25</v>
      </c>
      <c r="T54" s="3"/>
      <c r="U54" s="3"/>
      <c r="V54" s="300">
        <v>5974.3</v>
      </c>
      <c r="W54" s="300">
        <v>0</v>
      </c>
      <c r="X54" s="300">
        <v>0</v>
      </c>
      <c r="Y54" s="301">
        <f t="shared" ref="Y54:Y57" si="25">V54+W54-X54</f>
        <v>5974.3</v>
      </c>
      <c r="Z54" s="3"/>
      <c r="AA54" s="3"/>
      <c r="AB54" s="3"/>
      <c r="AC54" s="3"/>
      <c r="AD54" s="3"/>
    </row>
    <row r="55" spans="1:30" x14ac:dyDescent="0.25">
      <c r="A55" s="3"/>
      <c r="B55" s="294"/>
      <c r="C55" s="299" t="s">
        <v>95</v>
      </c>
      <c r="D55" s="300">
        <v>4256.8999999999996</v>
      </c>
      <c r="E55" s="300">
        <v>4410.1000000000004</v>
      </c>
      <c r="F55" s="300">
        <v>6656.6</v>
      </c>
      <c r="G55" s="301">
        <f t="shared" si="22"/>
        <v>2010.3999999999996</v>
      </c>
      <c r="H55" s="284"/>
      <c r="I55" s="3"/>
      <c r="J55" s="300">
        <v>2010.47</v>
      </c>
      <c r="K55" s="300">
        <v>1330</v>
      </c>
      <c r="L55" s="300">
        <v>157.07</v>
      </c>
      <c r="M55" s="301">
        <f t="shared" si="23"/>
        <v>3183.4</v>
      </c>
      <c r="N55" s="3"/>
      <c r="O55" s="3"/>
      <c r="P55" s="300">
        <v>2010.47</v>
      </c>
      <c r="Q55" s="300">
        <v>656.36</v>
      </c>
      <c r="R55" s="300">
        <v>157.07</v>
      </c>
      <c r="S55" s="301">
        <f t="shared" si="24"/>
        <v>2509.7599999999998</v>
      </c>
      <c r="T55" s="3"/>
      <c r="U55" s="3"/>
      <c r="V55" s="300">
        <v>3183.4</v>
      </c>
      <c r="W55" s="300">
        <v>1570</v>
      </c>
      <c r="X55" s="300">
        <v>0</v>
      </c>
      <c r="Y55" s="301">
        <f t="shared" si="25"/>
        <v>4753.3999999999996</v>
      </c>
      <c r="Z55" s="3"/>
      <c r="AA55" s="3"/>
      <c r="AB55" s="3"/>
      <c r="AC55" s="3"/>
      <c r="AD55" s="3"/>
    </row>
    <row r="56" spans="1:30" x14ac:dyDescent="0.25">
      <c r="A56" s="3"/>
      <c r="B56" s="294"/>
      <c r="C56" s="299" t="s">
        <v>96</v>
      </c>
      <c r="D56" s="300">
        <v>1409.5</v>
      </c>
      <c r="E56" s="300">
        <v>0</v>
      </c>
      <c r="F56" s="300">
        <v>98</v>
      </c>
      <c r="G56" s="301">
        <f t="shared" si="22"/>
        <v>1311.5</v>
      </c>
      <c r="H56" s="284"/>
      <c r="I56" s="3"/>
      <c r="J56" s="300">
        <v>1311.5</v>
      </c>
      <c r="K56" s="300">
        <v>0</v>
      </c>
      <c r="L56" s="300">
        <v>0</v>
      </c>
      <c r="M56" s="301">
        <f t="shared" si="23"/>
        <v>1311.5</v>
      </c>
      <c r="N56" s="3"/>
      <c r="O56" s="3"/>
      <c r="P56" s="300">
        <v>1311.5</v>
      </c>
      <c r="Q56" s="300">
        <v>0</v>
      </c>
      <c r="R56" s="300">
        <v>600</v>
      </c>
      <c r="S56" s="301">
        <f t="shared" si="24"/>
        <v>711.5</v>
      </c>
      <c r="T56" s="3"/>
      <c r="U56" s="3"/>
      <c r="V56" s="300">
        <v>711.5</v>
      </c>
      <c r="W56" s="300">
        <v>0</v>
      </c>
      <c r="X56" s="300">
        <v>600</v>
      </c>
      <c r="Y56" s="301">
        <f t="shared" si="25"/>
        <v>111.5</v>
      </c>
      <c r="Z56" s="3"/>
      <c r="AA56" s="3"/>
      <c r="AB56" s="3"/>
      <c r="AC56" s="3"/>
      <c r="AD56" s="3"/>
    </row>
    <row r="57" spans="1:30" x14ac:dyDescent="0.25">
      <c r="A57" s="3"/>
      <c r="B57" s="294"/>
      <c r="C57" s="302" t="s">
        <v>97</v>
      </c>
      <c r="D57" s="300">
        <v>106.9</v>
      </c>
      <c r="E57" s="300">
        <v>47</v>
      </c>
      <c r="F57" s="300">
        <v>68.8</v>
      </c>
      <c r="G57" s="301">
        <f t="shared" si="22"/>
        <v>85.100000000000009</v>
      </c>
      <c r="H57" s="284"/>
      <c r="I57" s="3"/>
      <c r="J57" s="300">
        <v>85.14</v>
      </c>
      <c r="K57" s="300">
        <v>51</v>
      </c>
      <c r="L57" s="300">
        <v>60</v>
      </c>
      <c r="M57" s="301">
        <f>J57+K57-L57</f>
        <v>76.139999999999986</v>
      </c>
      <c r="N57" s="3"/>
      <c r="O57" s="3"/>
      <c r="P57" s="300">
        <v>85.14</v>
      </c>
      <c r="Q57" s="300">
        <v>25.47</v>
      </c>
      <c r="R57" s="300">
        <v>35.5</v>
      </c>
      <c r="S57" s="301">
        <f t="shared" si="24"/>
        <v>75.11</v>
      </c>
      <c r="T57" s="3"/>
      <c r="U57" s="3"/>
      <c r="V57" s="300">
        <v>75.099999999999994</v>
      </c>
      <c r="W57" s="300">
        <v>55.7</v>
      </c>
      <c r="X57" s="300">
        <v>62</v>
      </c>
      <c r="Y57" s="301">
        <f t="shared" si="25"/>
        <v>68.800000000000011</v>
      </c>
      <c r="Z57" s="3"/>
      <c r="AA57" s="3"/>
      <c r="AB57" s="3"/>
      <c r="AC57" s="3"/>
      <c r="AD57" s="3"/>
    </row>
    <row r="58" spans="1:30" ht="10.5" customHeight="1" x14ac:dyDescent="0.25">
      <c r="A58" s="3"/>
      <c r="B58" s="294"/>
      <c r="C58" s="282"/>
      <c r="D58" s="284"/>
      <c r="E58" s="284"/>
      <c r="F58" s="284"/>
      <c r="G58" s="284"/>
      <c r="H58" s="28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3"/>
      <c r="B59" s="294"/>
      <c r="C59" s="297" t="s">
        <v>98</v>
      </c>
      <c r="D59" s="298" t="s">
        <v>99</v>
      </c>
      <c r="E59" s="298" t="s">
        <v>100</v>
      </c>
      <c r="F59" s="284"/>
      <c r="G59" s="284"/>
      <c r="H59" s="284"/>
      <c r="I59" s="287"/>
      <c r="J59" s="298" t="s">
        <v>101</v>
      </c>
      <c r="K59" s="284"/>
      <c r="L59" s="284"/>
      <c r="M59" s="284"/>
      <c r="N59" s="284"/>
      <c r="O59" s="287"/>
      <c r="P59" s="298" t="s">
        <v>102</v>
      </c>
      <c r="Q59" s="287"/>
      <c r="R59" s="287"/>
      <c r="S59" s="287"/>
      <c r="T59" s="287"/>
      <c r="U59" s="287"/>
      <c r="V59" s="298" t="s">
        <v>101</v>
      </c>
      <c r="W59" s="3"/>
      <c r="X59" s="3"/>
      <c r="Y59" s="3"/>
      <c r="Z59" s="3"/>
      <c r="AA59" s="3"/>
      <c r="AB59" s="3"/>
      <c r="AC59" s="3"/>
      <c r="AD59" s="3"/>
    </row>
    <row r="60" spans="1:30" x14ac:dyDescent="0.25">
      <c r="A60" s="3"/>
      <c r="B60" s="294"/>
      <c r="C60" s="299"/>
      <c r="D60" s="303">
        <v>9</v>
      </c>
      <c r="E60" s="303">
        <v>9</v>
      </c>
      <c r="F60" s="284"/>
      <c r="G60" s="284"/>
      <c r="H60" s="284"/>
      <c r="I60" s="287"/>
      <c r="J60" s="303">
        <v>9</v>
      </c>
      <c r="K60" s="284"/>
      <c r="L60" s="284"/>
      <c r="M60" s="284"/>
      <c r="N60" s="284"/>
      <c r="O60" s="287"/>
      <c r="P60" s="303">
        <v>9</v>
      </c>
      <c r="Q60" s="287"/>
      <c r="R60" s="287"/>
      <c r="S60" s="287"/>
      <c r="T60" s="287"/>
      <c r="U60" s="287"/>
      <c r="V60" s="303">
        <v>10</v>
      </c>
      <c r="W60" s="3"/>
      <c r="X60" s="3"/>
      <c r="Y60" s="3"/>
      <c r="Z60" s="3"/>
      <c r="AA60" s="3"/>
      <c r="AB60" s="3"/>
      <c r="AC60" s="3"/>
      <c r="AD60" s="3"/>
    </row>
    <row r="61" spans="1:30" x14ac:dyDescent="0.25">
      <c r="A61" s="3"/>
      <c r="B61" s="294"/>
      <c r="C61" s="282"/>
      <c r="D61" s="284"/>
      <c r="E61" s="284"/>
      <c r="F61" s="284"/>
      <c r="G61" s="284"/>
      <c r="H61" s="284"/>
      <c r="I61" s="287"/>
      <c r="J61" s="284"/>
      <c r="K61" s="284"/>
      <c r="L61" s="284"/>
      <c r="M61" s="284"/>
      <c r="N61" s="284"/>
      <c r="O61" s="287"/>
      <c r="P61" s="287"/>
      <c r="Q61" s="287"/>
      <c r="R61" s="287"/>
      <c r="S61" s="287"/>
      <c r="T61" s="287"/>
      <c r="U61" s="287"/>
      <c r="V61" s="3"/>
      <c r="W61" s="3"/>
      <c r="X61" s="3"/>
      <c r="Y61" s="3"/>
      <c r="Z61" s="3"/>
      <c r="AA61" s="3"/>
      <c r="AB61" s="3"/>
      <c r="AC61" s="3"/>
      <c r="AD61" s="3"/>
    </row>
    <row r="62" spans="1:30" x14ac:dyDescent="0.25">
      <c r="A62" s="3"/>
      <c r="B62" s="304" t="s">
        <v>103</v>
      </c>
      <c r="C62" s="305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306"/>
      <c r="W62" s="306"/>
      <c r="X62" s="306"/>
      <c r="Y62" s="306"/>
      <c r="Z62" s="306"/>
      <c r="AA62" s="306"/>
      <c r="AB62" s="307"/>
      <c r="AC62" s="3"/>
      <c r="AD62" s="3"/>
    </row>
    <row r="63" spans="1:30" x14ac:dyDescent="0.25">
      <c r="A63" s="3"/>
      <c r="B63" s="308"/>
      <c r="M63"/>
      <c r="AB63" s="309"/>
      <c r="AC63" s="3"/>
      <c r="AD63" s="3"/>
    </row>
    <row r="64" spans="1:30" x14ac:dyDescent="0.25">
      <c r="A64" s="3"/>
      <c r="B64" s="634"/>
      <c r="C64" s="635"/>
      <c r="D64" s="635"/>
      <c r="E64" s="635"/>
      <c r="F64" s="635"/>
      <c r="G64" s="635"/>
      <c r="H64" s="635"/>
      <c r="I64" s="635"/>
      <c r="J64" s="635"/>
      <c r="K64" s="635"/>
      <c r="L64" s="635"/>
      <c r="M64" s="635"/>
      <c r="N64" s="635"/>
      <c r="O64" s="635"/>
      <c r="P64" s="635"/>
      <c r="Q64" s="635"/>
      <c r="R64" s="635"/>
      <c r="S64" s="635"/>
      <c r="T64" s="635"/>
      <c r="U64" s="635"/>
      <c r="AB64" s="309"/>
      <c r="AC64" s="3"/>
      <c r="AD64" s="3"/>
    </row>
    <row r="65" spans="1:30" x14ac:dyDescent="0.25">
      <c r="A65" s="3"/>
      <c r="B65" s="634"/>
      <c r="C65" s="635"/>
      <c r="D65" s="635"/>
      <c r="E65" s="635"/>
      <c r="F65" s="635"/>
      <c r="G65" s="635"/>
      <c r="H65" s="635"/>
      <c r="I65" s="635"/>
      <c r="J65" s="635"/>
      <c r="K65" s="635"/>
      <c r="L65" s="635"/>
      <c r="M65" s="635"/>
      <c r="N65" s="635"/>
      <c r="O65" s="635"/>
      <c r="P65" s="635"/>
      <c r="Q65" s="635"/>
      <c r="R65" s="635"/>
      <c r="S65" s="635"/>
      <c r="T65" s="635"/>
      <c r="U65" s="635"/>
      <c r="AB65" s="309"/>
      <c r="AC65" s="3"/>
      <c r="AD65" s="3"/>
    </row>
    <row r="66" spans="1:30" x14ac:dyDescent="0.25">
      <c r="A66" s="3"/>
      <c r="B66" s="634"/>
      <c r="C66" s="635"/>
      <c r="D66" s="635"/>
      <c r="E66" s="635"/>
      <c r="F66" s="635"/>
      <c r="G66" s="635"/>
      <c r="H66" s="635"/>
      <c r="I66" s="635"/>
      <c r="J66" s="635"/>
      <c r="K66" s="635"/>
      <c r="L66" s="635"/>
      <c r="M66" s="635"/>
      <c r="N66" s="635"/>
      <c r="O66" s="635"/>
      <c r="P66" s="635"/>
      <c r="Q66" s="635"/>
      <c r="R66" s="635"/>
      <c r="S66" s="635"/>
      <c r="T66" s="635"/>
      <c r="U66" s="635"/>
      <c r="AB66" s="309"/>
      <c r="AC66" s="3"/>
      <c r="AD66" s="3"/>
    </row>
    <row r="67" spans="1:30" x14ac:dyDescent="0.25">
      <c r="A67" s="3"/>
      <c r="B67" s="310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AB67" s="309"/>
      <c r="AC67" s="3"/>
      <c r="AD67" s="3"/>
    </row>
    <row r="68" spans="1:30" x14ac:dyDescent="0.25">
      <c r="A68" s="3"/>
      <c r="B68" s="310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AB68" s="309"/>
      <c r="AC68" s="3"/>
      <c r="AD68" s="3"/>
    </row>
    <row r="69" spans="1:30" x14ac:dyDescent="0.25">
      <c r="A69" s="3"/>
      <c r="B69" s="310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AB69" s="309"/>
      <c r="AC69" s="3"/>
      <c r="AD69" s="3"/>
    </row>
    <row r="70" spans="1:30" x14ac:dyDescent="0.25">
      <c r="A70" s="3"/>
      <c r="B70" s="310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AB70" s="309"/>
      <c r="AC70" s="3"/>
      <c r="AD70" s="3"/>
    </row>
    <row r="71" spans="1:30" x14ac:dyDescent="0.25">
      <c r="A71" s="3"/>
      <c r="B71" s="310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AB71" s="309"/>
      <c r="AC71" s="3"/>
      <c r="AD71" s="3"/>
    </row>
    <row r="72" spans="1:30" x14ac:dyDescent="0.25">
      <c r="A72" s="3"/>
      <c r="B72" s="310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AB72" s="309"/>
      <c r="AC72" s="3"/>
      <c r="AD72" s="3"/>
    </row>
    <row r="73" spans="1:30" x14ac:dyDescent="0.25">
      <c r="A73" s="3"/>
      <c r="B73" s="310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AB73" s="309"/>
      <c r="AC73" s="3"/>
      <c r="AD73" s="3"/>
    </row>
    <row r="74" spans="1:30" x14ac:dyDescent="0.25">
      <c r="A74" s="3"/>
      <c r="B74" s="310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AB74" s="309"/>
      <c r="AC74" s="3"/>
      <c r="AD74" s="3"/>
    </row>
    <row r="75" spans="1:30" x14ac:dyDescent="0.25">
      <c r="A75" s="3"/>
      <c r="B75" s="310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AB75" s="309"/>
      <c r="AC75" s="3"/>
      <c r="AD75" s="3"/>
    </row>
    <row r="76" spans="1:30" x14ac:dyDescent="0.25">
      <c r="A76" s="3"/>
      <c r="B76" s="310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AB76" s="309"/>
      <c r="AC76" s="3"/>
      <c r="AD76" s="3"/>
    </row>
    <row r="77" spans="1:30" x14ac:dyDescent="0.25">
      <c r="A77" s="3"/>
      <c r="B77" s="310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AB77" s="309"/>
      <c r="AC77" s="3"/>
      <c r="AD77" s="3"/>
    </row>
    <row r="78" spans="1:30" x14ac:dyDescent="0.25">
      <c r="A78" s="3"/>
      <c r="B78" s="310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AB78" s="309"/>
      <c r="AC78" s="3"/>
      <c r="AD78" s="3"/>
    </row>
    <row r="79" spans="1:30" x14ac:dyDescent="0.25">
      <c r="A79" s="3"/>
      <c r="B79" s="310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AB79" s="309"/>
      <c r="AC79" s="3"/>
      <c r="AD79" s="3"/>
    </row>
    <row r="80" spans="1:30" x14ac:dyDescent="0.25">
      <c r="A80" s="3"/>
      <c r="B80" s="310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AB80" s="309"/>
      <c r="AC80" s="3"/>
      <c r="AD80" s="3"/>
    </row>
    <row r="81" spans="1:30" x14ac:dyDescent="0.25">
      <c r="A81" s="3"/>
      <c r="B81" s="310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AB81" s="309"/>
      <c r="AC81" s="3"/>
      <c r="AD81" s="3"/>
    </row>
    <row r="82" spans="1:30" x14ac:dyDescent="0.25">
      <c r="A82" s="3"/>
      <c r="B82" s="310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AB82" s="309"/>
      <c r="AC82" s="3"/>
      <c r="AD82" s="3"/>
    </row>
    <row r="83" spans="1:30" x14ac:dyDescent="0.25">
      <c r="A83" s="3"/>
      <c r="B83" s="310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AB83" s="309"/>
      <c r="AC83" s="3"/>
      <c r="AD83" s="3"/>
    </row>
    <row r="84" spans="1:30" x14ac:dyDescent="0.25">
      <c r="A84" s="3"/>
      <c r="B84" s="310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AB84" s="309"/>
      <c r="AC84" s="3"/>
      <c r="AD84" s="3"/>
    </row>
    <row r="85" spans="1:30" x14ac:dyDescent="0.25">
      <c r="A85" s="3"/>
      <c r="B85" s="634"/>
      <c r="C85" s="635"/>
      <c r="D85" s="635"/>
      <c r="E85" s="635"/>
      <c r="F85" s="635"/>
      <c r="G85" s="635"/>
      <c r="H85" s="635"/>
      <c r="I85" s="635"/>
      <c r="J85" s="635"/>
      <c r="K85" s="635"/>
      <c r="L85" s="635"/>
      <c r="M85" s="635"/>
      <c r="N85" s="635"/>
      <c r="O85" s="635"/>
      <c r="P85" s="635"/>
      <c r="Q85" s="635"/>
      <c r="R85" s="635"/>
      <c r="S85" s="635"/>
      <c r="T85" s="635"/>
      <c r="U85" s="635"/>
      <c r="AB85" s="309"/>
      <c r="AC85" s="3"/>
      <c r="AD85" s="3"/>
    </row>
    <row r="86" spans="1:30" x14ac:dyDescent="0.25">
      <c r="A86" s="3"/>
      <c r="B86" s="311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AB86" s="309"/>
      <c r="AC86" s="3"/>
      <c r="AD86" s="3"/>
    </row>
    <row r="87" spans="1:30" x14ac:dyDescent="0.25">
      <c r="A87" s="3"/>
      <c r="B87" s="311"/>
      <c r="C87" s="312"/>
      <c r="D87" s="312"/>
      <c r="E87" s="312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AB87" s="309"/>
      <c r="AC87" s="3"/>
      <c r="AD87" s="3"/>
    </row>
    <row r="88" spans="1:30" x14ac:dyDescent="0.25">
      <c r="A88" s="3"/>
      <c r="B88" s="311"/>
      <c r="C88" s="313"/>
      <c r="D88" s="312"/>
      <c r="E88" s="312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AB88" s="309"/>
      <c r="AC88" s="3"/>
      <c r="AD88" s="3"/>
    </row>
    <row r="89" spans="1:30" x14ac:dyDescent="0.25">
      <c r="A89" s="3"/>
      <c r="B89" s="311"/>
      <c r="C89" s="313"/>
      <c r="D89" s="312"/>
      <c r="E89" s="312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AB89" s="309"/>
      <c r="AC89" s="3"/>
      <c r="AD89" s="3"/>
    </row>
    <row r="90" spans="1:30" x14ac:dyDescent="0.25">
      <c r="A90" s="3"/>
      <c r="B90" s="314"/>
      <c r="C90" s="315"/>
      <c r="D90" s="316"/>
      <c r="E90" s="316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8"/>
      <c r="W90" s="318"/>
      <c r="X90" s="318"/>
      <c r="Y90" s="318"/>
      <c r="Z90" s="318"/>
      <c r="AA90" s="318"/>
      <c r="AB90" s="319"/>
      <c r="AC90" s="3"/>
      <c r="AD90" s="3"/>
    </row>
    <row r="91" spans="1:30" x14ac:dyDescent="0.25">
      <c r="A91" s="3"/>
      <c r="B91" s="320"/>
      <c r="C91" s="321"/>
      <c r="D91" s="320"/>
      <c r="E91" s="320"/>
      <c r="F91" s="322"/>
      <c r="G91" s="322"/>
      <c r="H91" s="322"/>
      <c r="I91" s="322"/>
      <c r="J91" s="322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"/>
      <c r="W91" s="3"/>
      <c r="X91" s="3"/>
      <c r="Y91" s="3"/>
      <c r="Z91" s="3"/>
      <c r="AA91" s="3"/>
      <c r="AB91" s="3"/>
      <c r="AC91" s="3"/>
      <c r="AD91" s="3"/>
    </row>
    <row r="92" spans="1:30" x14ac:dyDescent="0.25">
      <c r="A92" s="3"/>
      <c r="B92" s="320"/>
      <c r="C92" s="321"/>
      <c r="D92" s="320"/>
      <c r="E92" s="320"/>
      <c r="F92" s="322"/>
      <c r="G92" s="322"/>
      <c r="H92" s="322"/>
      <c r="I92" s="322"/>
      <c r="J92" s="322"/>
      <c r="K92" s="322"/>
      <c r="L92" s="322"/>
      <c r="M92" s="322"/>
      <c r="N92" s="322"/>
      <c r="O92" s="322"/>
      <c r="P92" s="322"/>
      <c r="Q92" s="322"/>
      <c r="R92" s="322"/>
      <c r="S92" s="322"/>
      <c r="T92" s="322"/>
      <c r="U92" s="322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3"/>
      <c r="B93" s="323"/>
      <c r="C93" s="323"/>
      <c r="D93" s="323"/>
      <c r="E93" s="323"/>
      <c r="F93" s="323"/>
      <c r="G93" s="323"/>
      <c r="H93" s="323"/>
      <c r="I93" s="323"/>
      <c r="J93" s="323"/>
      <c r="K93" s="323"/>
      <c r="L93" s="323"/>
      <c r="M93" s="323"/>
      <c r="N93" s="323"/>
      <c r="O93" s="323"/>
      <c r="P93" s="323"/>
      <c r="Q93" s="323"/>
      <c r="R93" s="323"/>
      <c r="S93" s="323"/>
      <c r="T93" s="323"/>
      <c r="U93" s="323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3"/>
      <c r="B94" s="323" t="s">
        <v>104</v>
      </c>
      <c r="C94" s="324">
        <v>45895</v>
      </c>
      <c r="D94" s="323" t="s">
        <v>105</v>
      </c>
      <c r="E94" s="635" t="s">
        <v>118</v>
      </c>
      <c r="F94" s="635"/>
      <c r="G94" s="635"/>
      <c r="H94" s="323"/>
      <c r="I94" s="323" t="s">
        <v>107</v>
      </c>
      <c r="J94" s="636" t="s">
        <v>119</v>
      </c>
      <c r="K94" s="636"/>
      <c r="L94" s="636"/>
      <c r="M94" s="636"/>
      <c r="N94" s="323"/>
      <c r="O94" s="323"/>
      <c r="P94" s="323"/>
      <c r="Q94" s="323"/>
      <c r="R94" s="323"/>
      <c r="S94" s="323"/>
      <c r="T94" s="323"/>
      <c r="U94" s="323"/>
      <c r="V94" s="3"/>
      <c r="W94" s="3"/>
      <c r="X94" s="3"/>
      <c r="Y94" s="3"/>
      <c r="Z94" s="3"/>
      <c r="AA94" s="3"/>
      <c r="AB94" s="3"/>
      <c r="AC94" s="3"/>
      <c r="AD94" s="3"/>
    </row>
    <row r="95" spans="1:30" ht="7.5" customHeight="1" x14ac:dyDescent="0.25">
      <c r="A95" s="3"/>
      <c r="B95" s="323"/>
      <c r="C95" s="323"/>
      <c r="D95" s="323"/>
      <c r="E95" s="323"/>
      <c r="F95" s="323"/>
      <c r="G95" s="323"/>
      <c r="H95" s="323"/>
      <c r="I95" s="323"/>
      <c r="J95" s="323"/>
      <c r="K95" s="323"/>
      <c r="L95" s="323"/>
      <c r="M95" s="323"/>
      <c r="N95" s="323"/>
      <c r="O95" s="323"/>
      <c r="P95" s="323"/>
      <c r="Q95" s="323"/>
      <c r="R95" s="323"/>
      <c r="S95" s="323"/>
      <c r="T95" s="323"/>
      <c r="U95" s="323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3"/>
      <c r="B96" s="323"/>
      <c r="C96" s="323"/>
      <c r="D96" s="323" t="s">
        <v>109</v>
      </c>
      <c r="E96" s="325"/>
      <c r="F96" s="325"/>
      <c r="G96" s="325"/>
      <c r="H96" s="323"/>
      <c r="I96" s="323" t="s">
        <v>109</v>
      </c>
      <c r="J96" s="326"/>
      <c r="K96" s="326"/>
      <c r="L96" s="326"/>
      <c r="M96" s="326"/>
      <c r="N96" s="323"/>
      <c r="O96" s="323"/>
      <c r="P96" s="323"/>
      <c r="Q96" s="323"/>
      <c r="R96" s="323"/>
      <c r="S96" s="323"/>
      <c r="T96" s="323"/>
      <c r="U96" s="323"/>
      <c r="V96" s="3"/>
      <c r="W96" s="3"/>
      <c r="X96" s="3"/>
      <c r="Y96" s="3"/>
      <c r="Z96" s="3"/>
      <c r="AA96" s="3"/>
      <c r="AB96" s="3"/>
      <c r="AC96" s="3"/>
      <c r="AD96" s="3"/>
    </row>
    <row r="97" spans="1:30" x14ac:dyDescent="0.25">
      <c r="A97" s="3"/>
      <c r="B97" s="323"/>
      <c r="C97" s="323"/>
      <c r="D97" s="323"/>
      <c r="E97" s="325"/>
      <c r="F97" s="325"/>
      <c r="G97" s="325"/>
      <c r="H97" s="323"/>
      <c r="I97" s="323"/>
      <c r="J97" s="326"/>
      <c r="K97" s="326"/>
      <c r="L97" s="326"/>
      <c r="M97" s="326"/>
      <c r="N97" s="323"/>
      <c r="O97" s="323"/>
      <c r="P97" s="323"/>
      <c r="Q97" s="323"/>
      <c r="R97" s="323"/>
      <c r="S97" s="323"/>
      <c r="T97" s="323"/>
      <c r="U97" s="323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3"/>
      <c r="B98" s="323"/>
      <c r="C98" s="323"/>
      <c r="D98" s="323"/>
      <c r="E98" s="323"/>
      <c r="F98" s="323"/>
      <c r="G98" s="323"/>
      <c r="H98" s="323"/>
      <c r="I98" s="323"/>
      <c r="J98" s="323"/>
      <c r="K98" s="323"/>
      <c r="L98" s="323"/>
      <c r="M98" s="323"/>
      <c r="N98" s="323"/>
      <c r="O98" s="323"/>
      <c r="P98" s="323"/>
      <c r="Q98" s="323"/>
      <c r="R98" s="323"/>
      <c r="S98" s="323"/>
      <c r="T98" s="323"/>
      <c r="U98" s="323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3"/>
      <c r="B99" s="323"/>
      <c r="C99" s="323"/>
      <c r="D99" s="323"/>
      <c r="E99" s="323"/>
      <c r="F99" s="323"/>
      <c r="G99" s="323"/>
      <c r="H99" s="323"/>
      <c r="I99" s="323"/>
      <c r="J99" s="323"/>
      <c r="K99" s="323"/>
      <c r="L99" s="323"/>
      <c r="M99" s="323"/>
      <c r="N99" s="323"/>
      <c r="O99" s="323"/>
      <c r="P99" s="323"/>
      <c r="Q99" s="323"/>
      <c r="R99" s="323"/>
      <c r="S99" s="323"/>
      <c r="T99" s="323"/>
      <c r="U99" s="323"/>
      <c r="V99" s="3"/>
      <c r="W99" s="3"/>
      <c r="X99" s="3"/>
      <c r="Y99" s="3"/>
      <c r="Z99" s="3"/>
      <c r="AA99" s="3"/>
      <c r="AB99" s="3"/>
      <c r="AC99" s="3"/>
      <c r="AD99" s="3"/>
    </row>
    <row r="114" x14ac:dyDescent="0.25"/>
    <row r="115" x14ac:dyDescent="0.25"/>
    <row r="116" ht="15" hidden="1" customHeight="1" x14ac:dyDescent="0.25"/>
    <row r="129" x14ac:dyDescent="0.25"/>
    <row r="130" ht="15" hidden="1" customHeight="1" x14ac:dyDescent="0.25"/>
    <row r="131" ht="15" hidden="1" customHeight="1" x14ac:dyDescent="0.25"/>
  </sheetData>
  <mergeCells count="65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5:AB27"/>
    <mergeCell ref="J26:L26"/>
    <mergeCell ref="M26:M27"/>
    <mergeCell ref="N26:N27"/>
    <mergeCell ref="O26:O27"/>
    <mergeCell ref="AA13:AA14"/>
    <mergeCell ref="D25:I25"/>
    <mergeCell ref="J25:O25"/>
    <mergeCell ref="P25:U25"/>
    <mergeCell ref="V25:AA25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64:U64"/>
    <mergeCell ref="P26:R26"/>
    <mergeCell ref="S26:S27"/>
    <mergeCell ref="T26:T27"/>
    <mergeCell ref="U26:U27"/>
    <mergeCell ref="B26:B27"/>
    <mergeCell ref="C26:C27"/>
    <mergeCell ref="D26:F26"/>
    <mergeCell ref="G26:G27"/>
    <mergeCell ref="H26:H27"/>
    <mergeCell ref="I26:I27"/>
    <mergeCell ref="Z26:Z27"/>
    <mergeCell ref="AA26:AA27"/>
    <mergeCell ref="C46:C47"/>
    <mergeCell ref="C49:C50"/>
    <mergeCell ref="D62:U62"/>
    <mergeCell ref="V26:X26"/>
    <mergeCell ref="Y26:Y27"/>
    <mergeCell ref="B65:U65"/>
    <mergeCell ref="B66:U66"/>
    <mergeCell ref="B85:U85"/>
    <mergeCell ref="E94:G94"/>
    <mergeCell ref="J94:M94"/>
  </mergeCells>
  <conditionalFormatting sqref="AB15:AB25">
    <cfRule type="cellIs" dxfId="41" priority="3" operator="equal">
      <formula>0</formula>
    </cfRule>
    <cfRule type="containsErrors" dxfId="40" priority="4">
      <formula>ISERROR(AB15)</formula>
    </cfRule>
  </conditionalFormatting>
  <conditionalFormatting sqref="AB28:AB44">
    <cfRule type="cellIs" dxfId="39" priority="1" operator="equal">
      <formula>0</formula>
    </cfRule>
    <cfRule type="containsErrors" dxfId="38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FF0000"/>
    <pageSetUpPr fitToPage="1"/>
  </sheetPr>
  <dimension ref="A1:AD133"/>
  <sheetViews>
    <sheetView showGridLines="0" zoomScale="80" zoomScaleNormal="80" zoomScaleSheetLayoutView="80" workbookViewId="0">
      <selection activeCell="V18" sqref="V1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7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24" t="s">
        <v>120</v>
      </c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328">
        <v>72744260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7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5</v>
      </c>
      <c r="C8" s="1"/>
      <c r="D8" s="717" t="s">
        <v>121</v>
      </c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5"/>
      <c r="U8" s="625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626" t="s">
        <v>7</v>
      </c>
      <c r="C10" s="592" t="s">
        <v>8</v>
      </c>
      <c r="D10" s="631" t="s">
        <v>9</v>
      </c>
      <c r="E10" s="632"/>
      <c r="F10" s="632"/>
      <c r="G10" s="632"/>
      <c r="H10" s="632"/>
      <c r="I10" s="633"/>
      <c r="J10" s="631" t="s">
        <v>122</v>
      </c>
      <c r="K10" s="632"/>
      <c r="L10" s="632"/>
      <c r="M10" s="632"/>
      <c r="N10" s="632"/>
      <c r="O10" s="633"/>
      <c r="P10" s="631" t="s">
        <v>11</v>
      </c>
      <c r="Q10" s="632"/>
      <c r="R10" s="632"/>
      <c r="S10" s="632"/>
      <c r="T10" s="632"/>
      <c r="U10" s="633"/>
      <c r="V10" s="631" t="s">
        <v>12</v>
      </c>
      <c r="W10" s="632"/>
      <c r="X10" s="632"/>
      <c r="Y10" s="632"/>
      <c r="Z10" s="632"/>
      <c r="AA10" s="633"/>
      <c r="AB10" s="615" t="s">
        <v>13</v>
      </c>
      <c r="AC10" s="3"/>
      <c r="AD10" s="3"/>
    </row>
    <row r="11" spans="1:30" ht="30.75" customHeight="1" thickBot="1" x14ac:dyDescent="0.3">
      <c r="A11" s="1"/>
      <c r="B11" s="627"/>
      <c r="C11" s="593"/>
      <c r="D11" s="618" t="s">
        <v>14</v>
      </c>
      <c r="E11" s="619"/>
      <c r="F11" s="619"/>
      <c r="G11" s="620"/>
      <c r="H11" s="8" t="s">
        <v>15</v>
      </c>
      <c r="I11" s="8" t="s">
        <v>16</v>
      </c>
      <c r="J11" s="618" t="s">
        <v>14</v>
      </c>
      <c r="K11" s="619"/>
      <c r="L11" s="619"/>
      <c r="M11" s="620"/>
      <c r="N11" s="8" t="s">
        <v>15</v>
      </c>
      <c r="O11" s="8" t="s">
        <v>16</v>
      </c>
      <c r="P11" s="618" t="s">
        <v>14</v>
      </c>
      <c r="Q11" s="619"/>
      <c r="R11" s="619"/>
      <c r="S11" s="620"/>
      <c r="T11" s="8" t="s">
        <v>15</v>
      </c>
      <c r="U11" s="8" t="s">
        <v>16</v>
      </c>
      <c r="V11" s="618" t="s">
        <v>14</v>
      </c>
      <c r="W11" s="619"/>
      <c r="X11" s="619"/>
      <c r="Y11" s="620"/>
      <c r="Z11" s="8" t="s">
        <v>15</v>
      </c>
      <c r="AA11" s="8" t="s">
        <v>16</v>
      </c>
      <c r="AB11" s="616"/>
      <c r="AC11" s="3"/>
      <c r="AD11" s="3"/>
    </row>
    <row r="12" spans="1:30" ht="15.75" customHeight="1" thickBot="1" x14ac:dyDescent="0.3">
      <c r="A12" s="1"/>
      <c r="B12" s="627"/>
      <c r="C12" s="629"/>
      <c r="D12" s="621" t="s">
        <v>17</v>
      </c>
      <c r="E12" s="622"/>
      <c r="F12" s="622"/>
      <c r="G12" s="622"/>
      <c r="H12" s="622"/>
      <c r="I12" s="623"/>
      <c r="J12" s="621" t="s">
        <v>17</v>
      </c>
      <c r="K12" s="622"/>
      <c r="L12" s="622"/>
      <c r="M12" s="622"/>
      <c r="N12" s="622"/>
      <c r="O12" s="623"/>
      <c r="P12" s="621" t="s">
        <v>17</v>
      </c>
      <c r="Q12" s="622"/>
      <c r="R12" s="622"/>
      <c r="S12" s="622"/>
      <c r="T12" s="622"/>
      <c r="U12" s="623"/>
      <c r="V12" s="621" t="s">
        <v>17</v>
      </c>
      <c r="W12" s="622"/>
      <c r="X12" s="622"/>
      <c r="Y12" s="622"/>
      <c r="Z12" s="622"/>
      <c r="AA12" s="623"/>
      <c r="AB12" s="616"/>
      <c r="AC12" s="3"/>
      <c r="AD12" s="3"/>
    </row>
    <row r="13" spans="1:30" ht="15.75" customHeight="1" thickBot="1" x14ac:dyDescent="0.3">
      <c r="A13" s="1"/>
      <c r="B13" s="628"/>
      <c r="C13" s="630"/>
      <c r="D13" s="613" t="s">
        <v>18</v>
      </c>
      <c r="E13" s="614"/>
      <c r="F13" s="614"/>
      <c r="G13" s="609" t="s">
        <v>19</v>
      </c>
      <c r="H13" s="611" t="s">
        <v>20</v>
      </c>
      <c r="I13" s="594" t="s">
        <v>17</v>
      </c>
      <c r="J13" s="613" t="s">
        <v>18</v>
      </c>
      <c r="K13" s="614"/>
      <c r="L13" s="614"/>
      <c r="M13" s="609" t="s">
        <v>19</v>
      </c>
      <c r="N13" s="611" t="s">
        <v>20</v>
      </c>
      <c r="O13" s="594" t="s">
        <v>17</v>
      </c>
      <c r="P13" s="613" t="s">
        <v>18</v>
      </c>
      <c r="Q13" s="614"/>
      <c r="R13" s="614"/>
      <c r="S13" s="609" t="s">
        <v>19</v>
      </c>
      <c r="T13" s="611" t="s">
        <v>20</v>
      </c>
      <c r="U13" s="594" t="s">
        <v>17</v>
      </c>
      <c r="V13" s="613" t="s">
        <v>18</v>
      </c>
      <c r="W13" s="614"/>
      <c r="X13" s="614"/>
      <c r="Y13" s="609" t="s">
        <v>19</v>
      </c>
      <c r="Z13" s="611" t="s">
        <v>20</v>
      </c>
      <c r="AA13" s="594" t="s">
        <v>17</v>
      </c>
      <c r="AB13" s="616"/>
      <c r="AC13" s="3"/>
      <c r="AD13" s="3"/>
    </row>
    <row r="14" spans="1:30" ht="15.75" thickBot="1" x14ac:dyDescent="0.3">
      <c r="A14" s="1"/>
      <c r="B14" s="9"/>
      <c r="C14" s="10"/>
      <c r="D14" s="11" t="s">
        <v>21</v>
      </c>
      <c r="E14" s="12" t="s">
        <v>22</v>
      </c>
      <c r="F14" s="12" t="s">
        <v>23</v>
      </c>
      <c r="G14" s="610"/>
      <c r="H14" s="612"/>
      <c r="I14" s="595"/>
      <c r="J14" s="11" t="s">
        <v>21</v>
      </c>
      <c r="K14" s="12" t="s">
        <v>22</v>
      </c>
      <c r="L14" s="12" t="s">
        <v>23</v>
      </c>
      <c r="M14" s="610"/>
      <c r="N14" s="612"/>
      <c r="O14" s="595"/>
      <c r="P14" s="11" t="s">
        <v>21</v>
      </c>
      <c r="Q14" s="12" t="s">
        <v>22</v>
      </c>
      <c r="R14" s="12" t="s">
        <v>23</v>
      </c>
      <c r="S14" s="610"/>
      <c r="T14" s="612"/>
      <c r="U14" s="595"/>
      <c r="V14" s="11" t="s">
        <v>21</v>
      </c>
      <c r="W14" s="12" t="s">
        <v>22</v>
      </c>
      <c r="X14" s="12" t="s">
        <v>23</v>
      </c>
      <c r="Y14" s="610"/>
      <c r="Z14" s="612"/>
      <c r="AA14" s="595"/>
      <c r="AB14" s="617"/>
      <c r="AC14" s="3"/>
      <c r="AD14" s="3"/>
    </row>
    <row r="15" spans="1:30" x14ac:dyDescent="0.25">
      <c r="A15" s="1"/>
      <c r="B15" s="13" t="s">
        <v>24</v>
      </c>
      <c r="C15" s="14" t="s">
        <v>25</v>
      </c>
      <c r="D15" s="15"/>
      <c r="E15" s="16"/>
      <c r="F15" s="17">
        <v>10004.5</v>
      </c>
      <c r="G15" s="18">
        <f>SUM(D15:F15)</f>
        <v>10004.5</v>
      </c>
      <c r="H15" s="19">
        <v>0</v>
      </c>
      <c r="I15" s="20">
        <f>G15+H15</f>
        <v>10004.5</v>
      </c>
      <c r="J15" s="329"/>
      <c r="K15" s="330"/>
      <c r="L15" s="185">
        <v>11374</v>
      </c>
      <c r="M15" s="331">
        <f t="shared" ref="M15:M24" si="0">SUM(J15:L15)</f>
        <v>11374</v>
      </c>
      <c r="N15" s="332">
        <v>0</v>
      </c>
      <c r="O15" s="333">
        <f>M15+N15</f>
        <v>11374</v>
      </c>
      <c r="P15" s="15"/>
      <c r="Q15" s="16"/>
      <c r="R15" s="334">
        <v>5349.4</v>
      </c>
      <c r="S15" s="18">
        <f>SUM(P15:R15)</f>
        <v>5349.4</v>
      </c>
      <c r="T15" s="19">
        <v>0</v>
      </c>
      <c r="U15" s="20">
        <f>S15+T15</f>
        <v>5349.4</v>
      </c>
      <c r="V15" s="15"/>
      <c r="W15" s="16"/>
      <c r="X15" s="17">
        <v>12917.2</v>
      </c>
      <c r="Y15" s="18">
        <f>SUM(V15:X15)</f>
        <v>12917.2</v>
      </c>
      <c r="Z15" s="19">
        <v>20</v>
      </c>
      <c r="AA15" s="20">
        <f>Y15+Z15</f>
        <v>12937.2</v>
      </c>
      <c r="AB15" s="21">
        <f>(AA15/O15)</f>
        <v>1.1374362581325832</v>
      </c>
      <c r="AC15" s="3"/>
      <c r="AD15" s="3"/>
    </row>
    <row r="16" spans="1:30" x14ac:dyDescent="0.25">
      <c r="A16" s="1"/>
      <c r="B16" s="22" t="s">
        <v>26</v>
      </c>
      <c r="C16" s="23" t="s">
        <v>123</v>
      </c>
      <c r="D16" s="24">
        <v>14974</v>
      </c>
      <c r="E16" s="25"/>
      <c r="F16" s="25"/>
      <c r="G16" s="26">
        <f t="shared" ref="G16:G24" si="1">SUM(D16:F16)</f>
        <v>14974</v>
      </c>
      <c r="H16" s="27"/>
      <c r="I16" s="20">
        <f t="shared" ref="I16:I24" si="2">G16+H16</f>
        <v>14974</v>
      </c>
      <c r="J16" s="193">
        <v>14958.8</v>
      </c>
      <c r="K16" s="335"/>
      <c r="L16" s="335"/>
      <c r="M16" s="336">
        <f t="shared" si="0"/>
        <v>14958.8</v>
      </c>
      <c r="N16" s="337"/>
      <c r="O16" s="333">
        <f t="shared" ref="O16:O21" si="3">M16+N16</f>
        <v>14958.8</v>
      </c>
      <c r="P16" s="24">
        <v>7417.2</v>
      </c>
      <c r="Q16" s="338"/>
      <c r="R16" s="25"/>
      <c r="S16" s="26">
        <f t="shared" ref="S16:S24" si="4">SUM(P16:R16)</f>
        <v>7417.2</v>
      </c>
      <c r="T16" s="27"/>
      <c r="U16" s="20">
        <f t="shared" ref="U16:U21" si="5">S16+T16</f>
        <v>7417.2</v>
      </c>
      <c r="V16" s="24">
        <v>13735</v>
      </c>
      <c r="W16" s="25"/>
      <c r="X16" s="25"/>
      <c r="Y16" s="26">
        <f t="shared" ref="Y16:Y24" si="6">SUM(V16:X16)</f>
        <v>13735</v>
      </c>
      <c r="Z16" s="27"/>
      <c r="AA16" s="20">
        <f t="shared" ref="AA16:AA21" si="7">Y16+Z16</f>
        <v>13735</v>
      </c>
      <c r="AB16" s="21">
        <f t="shared" ref="AB16:AB25" si="8">(AA16/O16)</f>
        <v>0.9181886247559965</v>
      </c>
      <c r="AC16" s="3"/>
      <c r="AD16" s="3"/>
    </row>
    <row r="17" spans="1:30" x14ac:dyDescent="0.25">
      <c r="A17" s="1"/>
      <c r="B17" s="22" t="s">
        <v>28</v>
      </c>
      <c r="C17" s="28" t="s">
        <v>124</v>
      </c>
      <c r="D17" s="29">
        <v>264.7</v>
      </c>
      <c r="E17" s="30"/>
      <c r="F17" s="30"/>
      <c r="G17" s="26">
        <f t="shared" si="1"/>
        <v>264.7</v>
      </c>
      <c r="H17" s="31"/>
      <c r="I17" s="20">
        <f t="shared" si="2"/>
        <v>264.7</v>
      </c>
      <c r="J17" s="29">
        <v>145.5</v>
      </c>
      <c r="K17" s="339"/>
      <c r="L17" s="339"/>
      <c r="M17" s="336">
        <f t="shared" si="0"/>
        <v>145.5</v>
      </c>
      <c r="N17" s="340"/>
      <c r="O17" s="333">
        <f t="shared" si="3"/>
        <v>145.5</v>
      </c>
      <c r="P17" s="29"/>
      <c r="Q17" s="30"/>
      <c r="R17" s="30"/>
      <c r="S17" s="26">
        <f t="shared" si="4"/>
        <v>0</v>
      </c>
      <c r="T17" s="31"/>
      <c r="U17" s="20">
        <f t="shared" si="5"/>
        <v>0</v>
      </c>
      <c r="V17" s="29">
        <v>0</v>
      </c>
      <c r="W17" s="30"/>
      <c r="X17" s="30"/>
      <c r="Y17" s="26">
        <f t="shared" si="6"/>
        <v>0</v>
      </c>
      <c r="Z17" s="31"/>
      <c r="AA17" s="20">
        <f t="shared" si="7"/>
        <v>0</v>
      </c>
      <c r="AB17" s="21">
        <f t="shared" si="8"/>
        <v>0</v>
      </c>
      <c r="AC17" s="3"/>
      <c r="AD17" s="3"/>
    </row>
    <row r="18" spans="1:30" x14ac:dyDescent="0.25">
      <c r="A18" s="1"/>
      <c r="B18" s="22" t="s">
        <v>125</v>
      </c>
      <c r="C18" s="341" t="s">
        <v>126</v>
      </c>
      <c r="D18" s="29">
        <v>0</v>
      </c>
      <c r="E18" s="30"/>
      <c r="F18" s="30"/>
      <c r="G18" s="26">
        <f t="shared" si="1"/>
        <v>0</v>
      </c>
      <c r="H18" s="27"/>
      <c r="I18" s="20">
        <f t="shared" si="2"/>
        <v>0</v>
      </c>
      <c r="J18" s="342"/>
      <c r="K18" s="339"/>
      <c r="L18" s="339"/>
      <c r="M18" s="336">
        <f t="shared" si="0"/>
        <v>0</v>
      </c>
      <c r="N18" s="337"/>
      <c r="O18" s="333">
        <f t="shared" si="3"/>
        <v>0</v>
      </c>
      <c r="P18" s="29"/>
      <c r="Q18" s="30"/>
      <c r="R18" s="30"/>
      <c r="S18" s="26">
        <f t="shared" si="4"/>
        <v>0</v>
      </c>
      <c r="T18" s="27"/>
      <c r="U18" s="20">
        <f t="shared" si="5"/>
        <v>0</v>
      </c>
      <c r="V18" s="29">
        <v>38349.572</v>
      </c>
      <c r="W18" s="30"/>
      <c r="X18" s="30"/>
      <c r="Y18" s="26">
        <f t="shared" si="6"/>
        <v>38349.572</v>
      </c>
      <c r="Z18" s="27"/>
      <c r="AA18" s="20">
        <f t="shared" si="7"/>
        <v>38349.572</v>
      </c>
      <c r="AB18" s="21"/>
      <c r="AC18" s="3"/>
      <c r="AD18" s="3"/>
    </row>
    <row r="19" spans="1:30" x14ac:dyDescent="0.25">
      <c r="A19" s="1"/>
      <c r="B19" s="22" t="s">
        <v>30</v>
      </c>
      <c r="C19" s="32" t="s">
        <v>31</v>
      </c>
      <c r="D19" s="33"/>
      <c r="E19" s="34">
        <v>126585.4</v>
      </c>
      <c r="F19" s="30"/>
      <c r="G19" s="26">
        <f t="shared" si="1"/>
        <v>126585.4</v>
      </c>
      <c r="H19" s="19">
        <v>0</v>
      </c>
      <c r="I19" s="20">
        <f t="shared" si="2"/>
        <v>126585.4</v>
      </c>
      <c r="J19" s="343"/>
      <c r="K19" s="37">
        <v>131671</v>
      </c>
      <c r="L19" s="339"/>
      <c r="M19" s="336">
        <f t="shared" si="0"/>
        <v>131671</v>
      </c>
      <c r="N19" s="332">
        <v>0</v>
      </c>
      <c r="O19" s="333">
        <f t="shared" si="3"/>
        <v>131671</v>
      </c>
      <c r="P19" s="33"/>
      <c r="Q19" s="34">
        <v>63213.599999999999</v>
      </c>
      <c r="R19" s="30"/>
      <c r="S19" s="26">
        <f t="shared" si="4"/>
        <v>63213.599999999999</v>
      </c>
      <c r="T19" s="19">
        <v>0</v>
      </c>
      <c r="U19" s="20">
        <f t="shared" si="5"/>
        <v>63213.599999999999</v>
      </c>
      <c r="V19" s="33"/>
      <c r="W19" s="34">
        <v>103833</v>
      </c>
      <c r="X19" s="30"/>
      <c r="Y19" s="26">
        <f t="shared" si="6"/>
        <v>103833</v>
      </c>
      <c r="Z19" s="19">
        <v>0</v>
      </c>
      <c r="AA19" s="20">
        <f t="shared" si="7"/>
        <v>103833</v>
      </c>
      <c r="AB19" s="21">
        <f t="shared" si="8"/>
        <v>0.78857911005460579</v>
      </c>
      <c r="AC19" s="3"/>
      <c r="AD19" s="3"/>
    </row>
    <row r="20" spans="1:30" x14ac:dyDescent="0.25">
      <c r="A20" s="1"/>
      <c r="B20" s="22" t="s">
        <v>32</v>
      </c>
      <c r="C20" s="35" t="s">
        <v>33</v>
      </c>
      <c r="D20" s="36"/>
      <c r="E20" s="30"/>
      <c r="F20" s="37">
        <v>49.5</v>
      </c>
      <c r="G20" s="26">
        <f t="shared" si="1"/>
        <v>49.5</v>
      </c>
      <c r="H20" s="38">
        <v>0</v>
      </c>
      <c r="I20" s="20">
        <f t="shared" si="2"/>
        <v>49.5</v>
      </c>
      <c r="J20" s="344"/>
      <c r="K20" s="339"/>
      <c r="L20" s="37">
        <v>66.099999999999994</v>
      </c>
      <c r="M20" s="336">
        <f t="shared" si="0"/>
        <v>66.099999999999994</v>
      </c>
      <c r="N20" s="345">
        <v>0</v>
      </c>
      <c r="O20" s="333">
        <f t="shared" si="3"/>
        <v>66.099999999999994</v>
      </c>
      <c r="P20" s="36"/>
      <c r="Q20" s="30"/>
      <c r="R20" s="37">
        <v>46.2</v>
      </c>
      <c r="S20" s="26">
        <f t="shared" si="4"/>
        <v>46.2</v>
      </c>
      <c r="T20" s="38">
        <v>0</v>
      </c>
      <c r="U20" s="20">
        <f t="shared" si="5"/>
        <v>46.2</v>
      </c>
      <c r="V20" s="36"/>
      <c r="W20" s="30"/>
      <c r="X20" s="37">
        <v>63.8</v>
      </c>
      <c r="Y20" s="26">
        <f t="shared" si="6"/>
        <v>63.8</v>
      </c>
      <c r="Z20" s="38">
        <v>0</v>
      </c>
      <c r="AA20" s="20">
        <f t="shared" si="7"/>
        <v>63.8</v>
      </c>
      <c r="AB20" s="21">
        <f t="shared" si="8"/>
        <v>0.96520423600605143</v>
      </c>
      <c r="AC20" s="3"/>
      <c r="AD20" s="3"/>
    </row>
    <row r="21" spans="1:30" x14ac:dyDescent="0.25">
      <c r="A21" s="1"/>
      <c r="B21" s="22" t="s">
        <v>34</v>
      </c>
      <c r="C21" s="39" t="s">
        <v>35</v>
      </c>
      <c r="D21" s="33"/>
      <c r="E21" s="25"/>
      <c r="F21" s="40">
        <v>578.9</v>
      </c>
      <c r="G21" s="26">
        <f t="shared" si="1"/>
        <v>578.9</v>
      </c>
      <c r="H21" s="38">
        <v>0</v>
      </c>
      <c r="I21" s="20">
        <f t="shared" si="2"/>
        <v>578.9</v>
      </c>
      <c r="J21" s="343"/>
      <c r="K21" s="335"/>
      <c r="L21" s="205">
        <v>250</v>
      </c>
      <c r="M21" s="336">
        <f t="shared" si="0"/>
        <v>250</v>
      </c>
      <c r="N21" s="345">
        <v>0</v>
      </c>
      <c r="O21" s="333">
        <f t="shared" si="3"/>
        <v>250</v>
      </c>
      <c r="P21" s="33"/>
      <c r="Q21" s="25"/>
      <c r="R21" s="40">
        <v>92.5</v>
      </c>
      <c r="S21" s="26">
        <f t="shared" si="4"/>
        <v>92.5</v>
      </c>
      <c r="T21" s="38">
        <v>0</v>
      </c>
      <c r="U21" s="20">
        <f t="shared" si="5"/>
        <v>92.5</v>
      </c>
      <c r="V21" s="33"/>
      <c r="W21" s="25"/>
      <c r="X21" s="40">
        <v>320</v>
      </c>
      <c r="Y21" s="26">
        <f t="shared" si="6"/>
        <v>320</v>
      </c>
      <c r="Z21" s="38">
        <v>0</v>
      </c>
      <c r="AA21" s="20">
        <f t="shared" si="7"/>
        <v>320</v>
      </c>
      <c r="AB21" s="21">
        <f t="shared" si="8"/>
        <v>1.28</v>
      </c>
      <c r="AC21" s="3"/>
      <c r="AD21" s="3"/>
    </row>
    <row r="22" spans="1:30" x14ac:dyDescent="0.25">
      <c r="A22" s="1"/>
      <c r="B22" s="22" t="s">
        <v>36</v>
      </c>
      <c r="C22" s="41" t="s">
        <v>37</v>
      </c>
      <c r="D22" s="33"/>
      <c r="E22" s="25"/>
      <c r="F22" s="40">
        <v>796.6</v>
      </c>
      <c r="G22" s="26">
        <f t="shared" si="1"/>
        <v>796.6</v>
      </c>
      <c r="H22" s="42">
        <v>67.3</v>
      </c>
      <c r="I22" s="20">
        <f>G22+H22</f>
        <v>863.9</v>
      </c>
      <c r="J22" s="343"/>
      <c r="K22" s="335"/>
      <c r="L22" s="205">
        <v>710.6</v>
      </c>
      <c r="M22" s="336">
        <f t="shared" si="0"/>
        <v>710.6</v>
      </c>
      <c r="N22" s="207">
        <v>68</v>
      </c>
      <c r="O22" s="333">
        <f>M22+N22</f>
        <v>778.6</v>
      </c>
      <c r="P22" s="33"/>
      <c r="Q22" s="25"/>
      <c r="R22" s="40">
        <v>301.39999999999998</v>
      </c>
      <c r="S22" s="26">
        <f t="shared" si="4"/>
        <v>301.39999999999998</v>
      </c>
      <c r="T22" s="42">
        <v>57.9</v>
      </c>
      <c r="U22" s="20">
        <f>S22+T22</f>
        <v>359.29999999999995</v>
      </c>
      <c r="V22" s="33"/>
      <c r="W22" s="25"/>
      <c r="X22" s="40">
        <v>710.6</v>
      </c>
      <c r="Y22" s="26">
        <f t="shared" si="6"/>
        <v>710.6</v>
      </c>
      <c r="Z22" s="42">
        <v>68</v>
      </c>
      <c r="AA22" s="20">
        <f>Y22+Z22</f>
        <v>778.6</v>
      </c>
      <c r="AB22" s="21">
        <f t="shared" si="8"/>
        <v>1</v>
      </c>
      <c r="AC22" s="3"/>
      <c r="AD22" s="3"/>
    </row>
    <row r="23" spans="1:30" x14ac:dyDescent="0.25">
      <c r="A23" s="1"/>
      <c r="B23" s="22" t="s">
        <v>38</v>
      </c>
      <c r="C23" s="41" t="s">
        <v>39</v>
      </c>
      <c r="D23" s="33"/>
      <c r="E23" s="25"/>
      <c r="F23" s="40">
        <v>0</v>
      </c>
      <c r="G23" s="26">
        <f t="shared" si="1"/>
        <v>0</v>
      </c>
      <c r="H23" s="42">
        <v>0</v>
      </c>
      <c r="I23" s="20">
        <f t="shared" si="2"/>
        <v>0</v>
      </c>
      <c r="J23" s="343"/>
      <c r="K23" s="335"/>
      <c r="L23" s="205">
        <v>0</v>
      </c>
      <c r="M23" s="336">
        <f t="shared" si="0"/>
        <v>0</v>
      </c>
      <c r="N23" s="346">
        <v>0</v>
      </c>
      <c r="O23" s="333">
        <f>M23+N23</f>
        <v>0</v>
      </c>
      <c r="P23" s="33"/>
      <c r="Q23" s="25"/>
      <c r="R23" s="40">
        <v>0</v>
      </c>
      <c r="S23" s="26">
        <f t="shared" si="4"/>
        <v>0</v>
      </c>
      <c r="T23" s="42">
        <v>0</v>
      </c>
      <c r="U23" s="20">
        <f>S23+T23</f>
        <v>0</v>
      </c>
      <c r="V23" s="33"/>
      <c r="W23" s="25"/>
      <c r="X23" s="40">
        <v>0</v>
      </c>
      <c r="Y23" s="26">
        <f t="shared" si="6"/>
        <v>0</v>
      </c>
      <c r="Z23" s="42">
        <v>0</v>
      </c>
      <c r="AA23" s="20">
        <f>Y23+Z23</f>
        <v>0</v>
      </c>
      <c r="AB23" s="21" t="e">
        <f t="shared" si="8"/>
        <v>#DIV/0!</v>
      </c>
      <c r="AC23" s="3"/>
      <c r="AD23" s="3"/>
    </row>
    <row r="24" spans="1:30" ht="15.75" thickBot="1" x14ac:dyDescent="0.3">
      <c r="A24" s="1"/>
      <c r="B24" s="43" t="s">
        <v>40</v>
      </c>
      <c r="C24" s="44" t="s">
        <v>41</v>
      </c>
      <c r="D24" s="45"/>
      <c r="E24" s="46"/>
      <c r="F24" s="47">
        <v>0</v>
      </c>
      <c r="G24" s="48">
        <f t="shared" si="1"/>
        <v>0</v>
      </c>
      <c r="H24" s="49">
        <v>0</v>
      </c>
      <c r="I24" s="50">
        <f t="shared" si="2"/>
        <v>0</v>
      </c>
      <c r="J24" s="347"/>
      <c r="K24" s="348"/>
      <c r="L24" s="212">
        <v>0</v>
      </c>
      <c r="M24" s="349">
        <f t="shared" si="0"/>
        <v>0</v>
      </c>
      <c r="N24" s="350">
        <v>0</v>
      </c>
      <c r="O24" s="351">
        <f>M24+N24</f>
        <v>0</v>
      </c>
      <c r="P24" s="45"/>
      <c r="Q24" s="46"/>
      <c r="R24" s="47">
        <v>0</v>
      </c>
      <c r="S24" s="48">
        <f t="shared" si="4"/>
        <v>0</v>
      </c>
      <c r="T24" s="49">
        <v>0</v>
      </c>
      <c r="U24" s="50">
        <f>S24+T24</f>
        <v>0</v>
      </c>
      <c r="V24" s="45"/>
      <c r="W24" s="46"/>
      <c r="X24" s="47">
        <v>0</v>
      </c>
      <c r="Y24" s="48">
        <f t="shared" si="6"/>
        <v>0</v>
      </c>
      <c r="Z24" s="49">
        <v>0</v>
      </c>
      <c r="AA24" s="50">
        <f>Y24+Z24</f>
        <v>0</v>
      </c>
      <c r="AB24" s="51" t="e">
        <f t="shared" si="8"/>
        <v>#DIV/0!</v>
      </c>
      <c r="AC24" s="3"/>
      <c r="AD24" s="3"/>
    </row>
    <row r="25" spans="1:30" ht="15.75" thickBot="1" x14ac:dyDescent="0.3">
      <c r="A25" s="1"/>
      <c r="B25" s="52" t="s">
        <v>42</v>
      </c>
      <c r="C25" s="53" t="s">
        <v>43</v>
      </c>
      <c r="D25" s="54">
        <f>SUM(D15:D22)</f>
        <v>15238.7</v>
      </c>
      <c r="E25" s="55">
        <f>SUM(E15:E22)</f>
        <v>126585.4</v>
      </c>
      <c r="F25" s="55">
        <f>SUM(F15:F22)</f>
        <v>11429.5</v>
      </c>
      <c r="G25" s="56">
        <f>SUM(D25:F25)</f>
        <v>153253.6</v>
      </c>
      <c r="H25" s="57">
        <f>SUM(H15:H24)</f>
        <v>67.3</v>
      </c>
      <c r="I25" s="57">
        <f>SUM(I15:I22)</f>
        <v>153320.9</v>
      </c>
      <c r="J25" s="352">
        <f>SUM(J15:J22)</f>
        <v>15104.3</v>
      </c>
      <c r="K25" s="353">
        <f>SUM(K15:K22)</f>
        <v>131671</v>
      </c>
      <c r="L25" s="353">
        <f>SUM(L15:L22)</f>
        <v>12400.7</v>
      </c>
      <c r="M25" s="354">
        <f>SUM(J25:L25)</f>
        <v>159176</v>
      </c>
      <c r="N25" s="355">
        <f>SUM(N15:N24)</f>
        <v>68</v>
      </c>
      <c r="O25" s="355">
        <f>SUM(O15:O22)</f>
        <v>159244</v>
      </c>
      <c r="P25" s="54">
        <f>SUM(P15:P22)</f>
        <v>7417.2</v>
      </c>
      <c r="Q25" s="55">
        <f>SUM(Q15:Q22)</f>
        <v>63213.599999999999</v>
      </c>
      <c r="R25" s="55">
        <f>SUM(R15:R22)</f>
        <v>5789.4999999999991</v>
      </c>
      <c r="S25" s="56">
        <f>SUM(P25:R25)</f>
        <v>76420.3</v>
      </c>
      <c r="T25" s="57">
        <f>SUM(T15:T24)</f>
        <v>57.9</v>
      </c>
      <c r="U25" s="57">
        <f>SUM(U15:U22)</f>
        <v>76478.2</v>
      </c>
      <c r="V25" s="54">
        <f>SUM(V15:V22)</f>
        <v>52084.572</v>
      </c>
      <c r="W25" s="55">
        <f>SUM(W15:W22)</f>
        <v>103833</v>
      </c>
      <c r="X25" s="55">
        <f>SUM(X15:X22)</f>
        <v>14011.6</v>
      </c>
      <c r="Y25" s="56">
        <f>SUM(V25:X25)</f>
        <v>169929.17199999999</v>
      </c>
      <c r="Z25" s="57">
        <f>SUM(Z15:Z24)</f>
        <v>88</v>
      </c>
      <c r="AA25" s="57">
        <f>SUM(AA15:AA22)</f>
        <v>170017.17199999999</v>
      </c>
      <c r="AB25" s="58">
        <f t="shared" si="8"/>
        <v>1.0676519806083744</v>
      </c>
      <c r="AC25" s="3"/>
      <c r="AD25" s="3"/>
    </row>
    <row r="26" spans="1:30" ht="15.75" customHeight="1" thickBot="1" x14ac:dyDescent="0.3">
      <c r="A26" s="1"/>
      <c r="B26" s="59"/>
      <c r="C26" s="60"/>
      <c r="D26" s="596" t="s">
        <v>44</v>
      </c>
      <c r="E26" s="597"/>
      <c r="F26" s="597"/>
      <c r="G26" s="598"/>
      <c r="H26" s="598"/>
      <c r="I26" s="599"/>
      <c r="J26" s="705" t="s">
        <v>44</v>
      </c>
      <c r="K26" s="706"/>
      <c r="L26" s="706"/>
      <c r="M26" s="707"/>
      <c r="N26" s="707"/>
      <c r="O26" s="708"/>
      <c r="P26" s="596" t="s">
        <v>44</v>
      </c>
      <c r="Q26" s="597"/>
      <c r="R26" s="597"/>
      <c r="S26" s="598"/>
      <c r="T26" s="598"/>
      <c r="U26" s="599"/>
      <c r="V26" s="596" t="s">
        <v>44</v>
      </c>
      <c r="W26" s="597"/>
      <c r="X26" s="597"/>
      <c r="Y26" s="598"/>
      <c r="Z26" s="598"/>
      <c r="AA26" s="599"/>
      <c r="AB26" s="600" t="s">
        <v>13</v>
      </c>
      <c r="AC26" s="3"/>
      <c r="AD26" s="3"/>
    </row>
    <row r="27" spans="1:30" ht="15.75" thickBot="1" x14ac:dyDescent="0.3">
      <c r="A27" s="1"/>
      <c r="B27" s="590" t="s">
        <v>7</v>
      </c>
      <c r="C27" s="592" t="s">
        <v>8</v>
      </c>
      <c r="D27" s="586" t="s">
        <v>45</v>
      </c>
      <c r="E27" s="587"/>
      <c r="F27" s="587"/>
      <c r="G27" s="588" t="s">
        <v>46</v>
      </c>
      <c r="H27" s="578" t="s">
        <v>47</v>
      </c>
      <c r="I27" s="580" t="s">
        <v>44</v>
      </c>
      <c r="J27" s="709" t="s">
        <v>45</v>
      </c>
      <c r="K27" s="710"/>
      <c r="L27" s="710"/>
      <c r="M27" s="711" t="s">
        <v>46</v>
      </c>
      <c r="N27" s="713" t="s">
        <v>47</v>
      </c>
      <c r="O27" s="715" t="s">
        <v>44</v>
      </c>
      <c r="P27" s="586" t="s">
        <v>45</v>
      </c>
      <c r="Q27" s="587"/>
      <c r="R27" s="587"/>
      <c r="S27" s="588" t="s">
        <v>46</v>
      </c>
      <c r="T27" s="578" t="s">
        <v>47</v>
      </c>
      <c r="U27" s="580" t="s">
        <v>44</v>
      </c>
      <c r="V27" s="586" t="s">
        <v>45</v>
      </c>
      <c r="W27" s="587"/>
      <c r="X27" s="587"/>
      <c r="Y27" s="588" t="s">
        <v>46</v>
      </c>
      <c r="Z27" s="578" t="s">
        <v>47</v>
      </c>
      <c r="AA27" s="580" t="s">
        <v>44</v>
      </c>
      <c r="AB27" s="601"/>
      <c r="AC27" s="3"/>
      <c r="AD27" s="3"/>
    </row>
    <row r="28" spans="1:30" ht="15.75" thickBot="1" x14ac:dyDescent="0.3">
      <c r="A28" s="1"/>
      <c r="B28" s="591"/>
      <c r="C28" s="593"/>
      <c r="D28" s="61" t="s">
        <v>48</v>
      </c>
      <c r="E28" s="62" t="s">
        <v>49</v>
      </c>
      <c r="F28" s="63" t="s">
        <v>50</v>
      </c>
      <c r="G28" s="589"/>
      <c r="H28" s="579"/>
      <c r="I28" s="581"/>
      <c r="J28" s="356" t="s">
        <v>48</v>
      </c>
      <c r="K28" s="357" t="s">
        <v>49</v>
      </c>
      <c r="L28" s="358" t="s">
        <v>50</v>
      </c>
      <c r="M28" s="712"/>
      <c r="N28" s="714"/>
      <c r="O28" s="716"/>
      <c r="P28" s="61" t="s">
        <v>48</v>
      </c>
      <c r="Q28" s="62" t="s">
        <v>49</v>
      </c>
      <c r="R28" s="63" t="s">
        <v>50</v>
      </c>
      <c r="S28" s="589"/>
      <c r="T28" s="579"/>
      <c r="U28" s="581"/>
      <c r="V28" s="61" t="s">
        <v>48</v>
      </c>
      <c r="W28" s="62" t="s">
        <v>49</v>
      </c>
      <c r="X28" s="63" t="s">
        <v>50</v>
      </c>
      <c r="Y28" s="589"/>
      <c r="Z28" s="579"/>
      <c r="AA28" s="581"/>
      <c r="AB28" s="602"/>
      <c r="AC28" s="3"/>
      <c r="AD28" s="3"/>
    </row>
    <row r="29" spans="1:30" x14ac:dyDescent="0.25">
      <c r="A29" s="1"/>
      <c r="B29" s="13" t="s">
        <v>51</v>
      </c>
      <c r="C29" s="67" t="s">
        <v>52</v>
      </c>
      <c r="D29" s="68">
        <v>986.9</v>
      </c>
      <c r="E29" s="68">
        <v>0</v>
      </c>
      <c r="F29" s="68">
        <v>1148.8</v>
      </c>
      <c r="G29" s="70">
        <f>SUM(D29:F29)</f>
        <v>2135.6999999999998</v>
      </c>
      <c r="H29" s="70"/>
      <c r="I29" s="71">
        <f>G29+H29</f>
        <v>2135.6999999999998</v>
      </c>
      <c r="J29" s="240">
        <v>1155</v>
      </c>
      <c r="K29" s="237">
        <v>0</v>
      </c>
      <c r="L29" s="237">
        <v>1003</v>
      </c>
      <c r="M29" s="359">
        <f>SUM(J29:L29)</f>
        <v>2158</v>
      </c>
      <c r="N29" s="359">
        <v>0</v>
      </c>
      <c r="O29" s="360">
        <f>M29+N29</f>
        <v>2158</v>
      </c>
      <c r="P29" s="72">
        <v>784.8</v>
      </c>
      <c r="Q29" s="68">
        <v>0</v>
      </c>
      <c r="R29" s="68">
        <v>243.9</v>
      </c>
      <c r="S29" s="70">
        <f>SUM(P29:R29)</f>
        <v>1028.7</v>
      </c>
      <c r="T29" s="70"/>
      <c r="U29" s="71">
        <f>S29+T29</f>
        <v>1028.7</v>
      </c>
      <c r="V29" s="72">
        <v>935</v>
      </c>
      <c r="W29" s="68">
        <v>0</v>
      </c>
      <c r="X29" s="68">
        <v>1271</v>
      </c>
      <c r="Y29" s="70">
        <f>SUM(V29:X29)</f>
        <v>2206</v>
      </c>
      <c r="Z29" s="70">
        <v>0</v>
      </c>
      <c r="AA29" s="71">
        <f>Y29+Z29</f>
        <v>2206</v>
      </c>
      <c r="AB29" s="21">
        <f t="shared" ref="AB29:AB42" si="9">(AA29/O29)</f>
        <v>1.0222428174235403</v>
      </c>
      <c r="AC29" s="3"/>
      <c r="AD29" s="3"/>
    </row>
    <row r="30" spans="1:30" x14ac:dyDescent="0.25">
      <c r="A30" s="1"/>
      <c r="B30" s="22" t="s">
        <v>53</v>
      </c>
      <c r="C30" s="73" t="s">
        <v>54</v>
      </c>
      <c r="D30" s="74">
        <v>711</v>
      </c>
      <c r="E30" s="75">
        <v>373.9</v>
      </c>
      <c r="F30" s="75">
        <v>8423.7999999999993</v>
      </c>
      <c r="G30" s="76">
        <f t="shared" ref="G30:G39" si="10">SUM(D30:F30)</f>
        <v>9508.6999999999989</v>
      </c>
      <c r="H30" s="77"/>
      <c r="I30" s="20">
        <f t="shared" ref="I30:I39" si="11">G30+H30</f>
        <v>9508.6999999999989</v>
      </c>
      <c r="J30" s="244">
        <v>780</v>
      </c>
      <c r="K30" s="242">
        <v>101</v>
      </c>
      <c r="L30" s="242">
        <v>9959</v>
      </c>
      <c r="M30" s="361">
        <f t="shared" ref="M30:M39" si="12">SUM(J30:L30)</f>
        <v>10840</v>
      </c>
      <c r="N30" s="362">
        <v>0</v>
      </c>
      <c r="O30" s="333">
        <f t="shared" ref="O30:O39" si="13">M30+N30</f>
        <v>10840</v>
      </c>
      <c r="P30" s="78">
        <v>378.9</v>
      </c>
      <c r="Q30" s="75">
        <v>3.5</v>
      </c>
      <c r="R30" s="75">
        <v>4636.3999999999996</v>
      </c>
      <c r="S30" s="76">
        <f t="shared" ref="S30:S39" si="14">SUM(P30:R30)</f>
        <v>5018.7999999999993</v>
      </c>
      <c r="T30" s="77"/>
      <c r="U30" s="20">
        <f t="shared" ref="U30:U39" si="15">S30+T30</f>
        <v>5018.7999999999993</v>
      </c>
      <c r="V30" s="78">
        <v>674.5</v>
      </c>
      <c r="W30" s="75">
        <v>202.1</v>
      </c>
      <c r="X30" s="75">
        <v>10462.6</v>
      </c>
      <c r="Y30" s="76">
        <f t="shared" ref="Y30:Y39" si="16">SUM(V30:X30)</f>
        <v>11339.2</v>
      </c>
      <c r="Z30" s="77">
        <v>0</v>
      </c>
      <c r="AA30" s="20">
        <f t="shared" ref="AA30:AA39" si="17">Y30+Z30</f>
        <v>11339.2</v>
      </c>
      <c r="AB30" s="21">
        <f t="shared" si="9"/>
        <v>1.0460516605166053</v>
      </c>
      <c r="AC30" s="3"/>
      <c r="AD30" s="3"/>
    </row>
    <row r="31" spans="1:30" x14ac:dyDescent="0.25">
      <c r="A31" s="1"/>
      <c r="B31" s="22" t="s">
        <v>55</v>
      </c>
      <c r="C31" s="41" t="s">
        <v>56</v>
      </c>
      <c r="D31" s="79">
        <v>7407.3</v>
      </c>
      <c r="E31" s="79">
        <v>0</v>
      </c>
      <c r="F31" s="79">
        <v>0</v>
      </c>
      <c r="G31" s="76">
        <f t="shared" si="10"/>
        <v>7407.3</v>
      </c>
      <c r="H31" s="76"/>
      <c r="I31" s="20">
        <f t="shared" si="11"/>
        <v>7407.3</v>
      </c>
      <c r="J31" s="244">
        <v>8370</v>
      </c>
      <c r="K31" s="242">
        <v>0</v>
      </c>
      <c r="L31" s="242">
        <v>0</v>
      </c>
      <c r="M31" s="361">
        <f t="shared" si="12"/>
        <v>8370</v>
      </c>
      <c r="N31" s="361">
        <v>0</v>
      </c>
      <c r="O31" s="333">
        <f t="shared" si="13"/>
        <v>8370</v>
      </c>
      <c r="P31" s="80">
        <v>4391</v>
      </c>
      <c r="Q31" s="79">
        <v>0</v>
      </c>
      <c r="R31" s="79">
        <v>0</v>
      </c>
      <c r="S31" s="76">
        <f t="shared" si="14"/>
        <v>4391</v>
      </c>
      <c r="T31" s="76"/>
      <c r="U31" s="20">
        <f t="shared" si="15"/>
        <v>4391</v>
      </c>
      <c r="V31" s="80">
        <v>8460</v>
      </c>
      <c r="W31" s="79">
        <v>0</v>
      </c>
      <c r="X31" s="79">
        <v>0</v>
      </c>
      <c r="Y31" s="76">
        <f t="shared" si="16"/>
        <v>8460</v>
      </c>
      <c r="Z31" s="76">
        <v>0</v>
      </c>
      <c r="AA31" s="20">
        <f t="shared" si="17"/>
        <v>8460</v>
      </c>
      <c r="AB31" s="21">
        <f t="shared" si="9"/>
        <v>1.010752688172043</v>
      </c>
      <c r="AC31" s="3"/>
      <c r="AD31" s="3"/>
    </row>
    <row r="32" spans="1:30" x14ac:dyDescent="0.25">
      <c r="A32" s="1"/>
      <c r="B32" s="22" t="s">
        <v>57</v>
      </c>
      <c r="C32" s="41" t="s">
        <v>58</v>
      </c>
      <c r="D32" s="79">
        <v>2450.3000000000002</v>
      </c>
      <c r="E32" s="79">
        <v>175.3</v>
      </c>
      <c r="F32" s="79">
        <v>277.60000000000002</v>
      </c>
      <c r="G32" s="76">
        <f t="shared" si="10"/>
        <v>2903.2000000000003</v>
      </c>
      <c r="H32" s="76"/>
      <c r="I32" s="20">
        <f t="shared" si="11"/>
        <v>2903.2000000000003</v>
      </c>
      <c r="J32" s="244">
        <v>2457.5</v>
      </c>
      <c r="K32" s="242">
        <v>0</v>
      </c>
      <c r="L32" s="242">
        <v>397</v>
      </c>
      <c r="M32" s="361">
        <f t="shared" si="12"/>
        <v>2854.5</v>
      </c>
      <c r="N32" s="361">
        <v>0</v>
      </c>
      <c r="O32" s="333">
        <f t="shared" si="13"/>
        <v>2854.5</v>
      </c>
      <c r="P32" s="80">
        <v>1312.5</v>
      </c>
      <c r="Q32" s="79">
        <v>13.8</v>
      </c>
      <c r="R32" s="79">
        <v>266.60000000000002</v>
      </c>
      <c r="S32" s="76">
        <f t="shared" si="14"/>
        <v>1592.9</v>
      </c>
      <c r="T32" s="76"/>
      <c r="U32" s="20">
        <f t="shared" si="15"/>
        <v>1592.9</v>
      </c>
      <c r="V32" s="80">
        <v>2681.5</v>
      </c>
      <c r="W32" s="79">
        <v>0</v>
      </c>
      <c r="X32" s="79">
        <v>599.20000000000005</v>
      </c>
      <c r="Y32" s="76">
        <f t="shared" si="16"/>
        <v>3280.7</v>
      </c>
      <c r="Z32" s="76">
        <v>0</v>
      </c>
      <c r="AA32" s="20">
        <f t="shared" si="17"/>
        <v>3280.7</v>
      </c>
      <c r="AB32" s="21">
        <f t="shared" si="9"/>
        <v>1.1493081100017515</v>
      </c>
      <c r="AC32" s="3"/>
      <c r="AD32" s="3"/>
    </row>
    <row r="33" spans="1:30" x14ac:dyDescent="0.25">
      <c r="A33" s="1"/>
      <c r="B33" s="22" t="s">
        <v>59</v>
      </c>
      <c r="C33" s="41" t="s">
        <v>60</v>
      </c>
      <c r="D33" s="363">
        <v>1164.7</v>
      </c>
      <c r="E33" s="79">
        <v>93019.8</v>
      </c>
      <c r="F33" s="79">
        <v>0</v>
      </c>
      <c r="G33" s="76">
        <f t="shared" si="10"/>
        <v>94184.5</v>
      </c>
      <c r="H33" s="76"/>
      <c r="I33" s="20">
        <f t="shared" si="11"/>
        <v>94184.5</v>
      </c>
      <c r="J33" s="249">
        <v>1122</v>
      </c>
      <c r="K33" s="242">
        <v>97202.3</v>
      </c>
      <c r="L33" s="242">
        <v>0</v>
      </c>
      <c r="M33" s="361">
        <f t="shared" si="12"/>
        <v>98324.3</v>
      </c>
      <c r="N33" s="361">
        <v>0</v>
      </c>
      <c r="O33" s="333">
        <f t="shared" si="13"/>
        <v>98324.3</v>
      </c>
      <c r="P33" s="82">
        <v>664</v>
      </c>
      <c r="Q33" s="79">
        <v>48031.199999999997</v>
      </c>
      <c r="R33" s="79">
        <v>0</v>
      </c>
      <c r="S33" s="76">
        <f t="shared" si="14"/>
        <v>48695.199999999997</v>
      </c>
      <c r="T33" s="76"/>
      <c r="U33" s="20">
        <f t="shared" si="15"/>
        <v>48695.199999999997</v>
      </c>
      <c r="V33" s="82">
        <v>27621.1</v>
      </c>
      <c r="W33" s="79">
        <v>76550</v>
      </c>
      <c r="X33" s="79">
        <v>0</v>
      </c>
      <c r="Y33" s="76">
        <f t="shared" si="16"/>
        <v>104171.1</v>
      </c>
      <c r="Z33" s="76">
        <v>0</v>
      </c>
      <c r="AA33" s="20">
        <f t="shared" si="17"/>
        <v>104171.1</v>
      </c>
      <c r="AB33" s="21">
        <f t="shared" si="9"/>
        <v>1.0594644457168778</v>
      </c>
      <c r="AC33" s="3"/>
      <c r="AD33" s="3"/>
    </row>
    <row r="34" spans="1:30" x14ac:dyDescent="0.25">
      <c r="A34" s="1"/>
      <c r="B34" s="22" t="s">
        <v>61</v>
      </c>
      <c r="C34" s="35" t="s">
        <v>127</v>
      </c>
      <c r="D34" s="363">
        <v>1164.7</v>
      </c>
      <c r="E34" s="79">
        <v>93019.8</v>
      </c>
      <c r="F34" s="79">
        <v>0</v>
      </c>
      <c r="G34" s="76">
        <f t="shared" si="10"/>
        <v>94184.5</v>
      </c>
      <c r="H34" s="76"/>
      <c r="I34" s="20">
        <f t="shared" si="11"/>
        <v>94184.5</v>
      </c>
      <c r="J34" s="249">
        <v>1122</v>
      </c>
      <c r="K34" s="242">
        <v>97202.3</v>
      </c>
      <c r="L34" s="242">
        <v>0</v>
      </c>
      <c r="M34" s="361">
        <f t="shared" si="12"/>
        <v>98324.3</v>
      </c>
      <c r="N34" s="361">
        <v>0</v>
      </c>
      <c r="O34" s="333">
        <f t="shared" si="13"/>
        <v>98324.3</v>
      </c>
      <c r="P34" s="82">
        <v>664</v>
      </c>
      <c r="Q34" s="79">
        <v>48031.199999999997</v>
      </c>
      <c r="R34" s="79">
        <v>0</v>
      </c>
      <c r="S34" s="76">
        <f t="shared" si="14"/>
        <v>48695.199999999997</v>
      </c>
      <c r="T34" s="76"/>
      <c r="U34" s="20">
        <f t="shared" si="15"/>
        <v>48695.199999999997</v>
      </c>
      <c r="V34" s="82">
        <v>27621.1</v>
      </c>
      <c r="W34" s="79">
        <v>76550</v>
      </c>
      <c r="X34" s="79">
        <v>0</v>
      </c>
      <c r="Y34" s="76">
        <f t="shared" si="16"/>
        <v>104171.1</v>
      </c>
      <c r="Z34" s="76">
        <v>0</v>
      </c>
      <c r="AA34" s="20">
        <f t="shared" si="17"/>
        <v>104171.1</v>
      </c>
      <c r="AB34" s="21">
        <f t="shared" si="9"/>
        <v>1.0594644457168778</v>
      </c>
      <c r="AC34" s="3"/>
      <c r="AD34" s="3"/>
    </row>
    <row r="35" spans="1:30" x14ac:dyDescent="0.25">
      <c r="A35" s="1"/>
      <c r="B35" s="22" t="s">
        <v>63</v>
      </c>
      <c r="C35" s="81" t="s">
        <v>64</v>
      </c>
      <c r="D35" s="363">
        <v>0</v>
      </c>
      <c r="E35" s="79">
        <v>0</v>
      </c>
      <c r="F35" s="79">
        <v>0</v>
      </c>
      <c r="G35" s="76">
        <f t="shared" si="10"/>
        <v>0</v>
      </c>
      <c r="H35" s="76"/>
      <c r="I35" s="20">
        <f t="shared" si="11"/>
        <v>0</v>
      </c>
      <c r="J35" s="249">
        <v>0</v>
      </c>
      <c r="K35" s="242">
        <v>0</v>
      </c>
      <c r="L35" s="242">
        <v>0</v>
      </c>
      <c r="M35" s="361">
        <f>SUM(J35:L35)</f>
        <v>0</v>
      </c>
      <c r="N35" s="361">
        <v>0</v>
      </c>
      <c r="O35" s="333">
        <f t="shared" si="13"/>
        <v>0</v>
      </c>
      <c r="P35" s="82">
        <v>0</v>
      </c>
      <c r="Q35" s="79">
        <v>0</v>
      </c>
      <c r="R35" s="79">
        <v>0</v>
      </c>
      <c r="S35" s="76">
        <f t="shared" si="14"/>
        <v>0</v>
      </c>
      <c r="T35" s="76"/>
      <c r="U35" s="20">
        <f t="shared" si="15"/>
        <v>0</v>
      </c>
      <c r="V35" s="82">
        <v>0</v>
      </c>
      <c r="W35" s="79">
        <v>0</v>
      </c>
      <c r="X35" s="79">
        <v>0</v>
      </c>
      <c r="Y35" s="76">
        <f t="shared" si="16"/>
        <v>0</v>
      </c>
      <c r="Z35" s="76">
        <v>0</v>
      </c>
      <c r="AA35" s="20">
        <f t="shared" si="17"/>
        <v>0</v>
      </c>
      <c r="AB35" s="21" t="e">
        <f t="shared" si="9"/>
        <v>#DIV/0!</v>
      </c>
      <c r="AC35" s="3"/>
      <c r="AD35" s="3"/>
    </row>
    <row r="36" spans="1:30" x14ac:dyDescent="0.25">
      <c r="A36" s="1"/>
      <c r="B36" s="22" t="s">
        <v>65</v>
      </c>
      <c r="C36" s="41" t="s">
        <v>66</v>
      </c>
      <c r="D36" s="363">
        <v>400.1</v>
      </c>
      <c r="E36" s="79">
        <v>31258.7</v>
      </c>
      <c r="F36" s="79">
        <v>0</v>
      </c>
      <c r="G36" s="76">
        <f t="shared" si="10"/>
        <v>31658.799999999999</v>
      </c>
      <c r="H36" s="76"/>
      <c r="I36" s="20">
        <f t="shared" si="11"/>
        <v>31658.799999999999</v>
      </c>
      <c r="J36" s="249">
        <v>383.9</v>
      </c>
      <c r="K36" s="242">
        <v>33102.400000000001</v>
      </c>
      <c r="L36" s="242">
        <v>66.2</v>
      </c>
      <c r="M36" s="361">
        <f>SUM(J36:L36)</f>
        <v>33552.5</v>
      </c>
      <c r="N36" s="361">
        <v>0</v>
      </c>
      <c r="O36" s="333">
        <f t="shared" si="13"/>
        <v>33552.5</v>
      </c>
      <c r="P36" s="82">
        <v>227.9</v>
      </c>
      <c r="Q36" s="79">
        <v>16121.7</v>
      </c>
      <c r="R36" s="79">
        <v>0</v>
      </c>
      <c r="S36" s="76">
        <f t="shared" si="14"/>
        <v>16349.6</v>
      </c>
      <c r="T36" s="76"/>
      <c r="U36" s="20">
        <f t="shared" si="15"/>
        <v>16349.6</v>
      </c>
      <c r="V36" s="82">
        <v>10393.200000000001</v>
      </c>
      <c r="W36" s="79">
        <v>26035.4</v>
      </c>
      <c r="X36" s="79">
        <v>0</v>
      </c>
      <c r="Y36" s="76">
        <f t="shared" si="16"/>
        <v>36428.600000000006</v>
      </c>
      <c r="Z36" s="76">
        <v>0</v>
      </c>
      <c r="AA36" s="20">
        <f t="shared" si="17"/>
        <v>36428.600000000006</v>
      </c>
      <c r="AB36" s="21">
        <f t="shared" si="9"/>
        <v>1.0857193949780197</v>
      </c>
      <c r="AC36" s="3"/>
      <c r="AD36" s="3"/>
    </row>
    <row r="37" spans="1:30" x14ac:dyDescent="0.25">
      <c r="A37" s="1"/>
      <c r="B37" s="22" t="s">
        <v>67</v>
      </c>
      <c r="C37" s="41" t="s">
        <v>68</v>
      </c>
      <c r="D37" s="79">
        <v>0</v>
      </c>
      <c r="E37" s="79">
        <v>0</v>
      </c>
      <c r="F37" s="79">
        <v>0</v>
      </c>
      <c r="G37" s="76">
        <f t="shared" si="10"/>
        <v>0</v>
      </c>
      <c r="H37" s="76"/>
      <c r="I37" s="20">
        <f t="shared" si="11"/>
        <v>0</v>
      </c>
      <c r="J37" s="244">
        <v>0</v>
      </c>
      <c r="K37" s="242">
        <v>0</v>
      </c>
      <c r="L37" s="242">
        <v>0</v>
      </c>
      <c r="M37" s="361">
        <f t="shared" si="12"/>
        <v>0</v>
      </c>
      <c r="N37" s="361">
        <v>0</v>
      </c>
      <c r="O37" s="333">
        <f t="shared" si="13"/>
        <v>0</v>
      </c>
      <c r="P37" s="80">
        <v>0</v>
      </c>
      <c r="Q37" s="79">
        <v>0</v>
      </c>
      <c r="R37" s="79">
        <v>0</v>
      </c>
      <c r="S37" s="76">
        <f t="shared" si="14"/>
        <v>0</v>
      </c>
      <c r="T37" s="76"/>
      <c r="U37" s="20">
        <f t="shared" si="15"/>
        <v>0</v>
      </c>
      <c r="V37" s="80">
        <v>0</v>
      </c>
      <c r="W37" s="79">
        <v>0</v>
      </c>
      <c r="X37" s="79">
        <v>0</v>
      </c>
      <c r="Y37" s="76">
        <f t="shared" si="16"/>
        <v>0</v>
      </c>
      <c r="Z37" s="76">
        <v>0</v>
      </c>
      <c r="AA37" s="20">
        <f t="shared" si="17"/>
        <v>0</v>
      </c>
      <c r="AB37" s="21" t="e">
        <f t="shared" si="9"/>
        <v>#DIV/0!</v>
      </c>
      <c r="AC37" s="3"/>
      <c r="AD37" s="3"/>
    </row>
    <row r="38" spans="1:30" x14ac:dyDescent="0.25">
      <c r="A38" s="1"/>
      <c r="B38" s="22" t="s">
        <v>69</v>
      </c>
      <c r="C38" s="41" t="s">
        <v>70</v>
      </c>
      <c r="D38" s="79">
        <v>332.4</v>
      </c>
      <c r="E38" s="79">
        <v>0</v>
      </c>
      <c r="F38" s="79">
        <v>49.5</v>
      </c>
      <c r="G38" s="76">
        <f t="shared" si="10"/>
        <v>381.9</v>
      </c>
      <c r="H38" s="76"/>
      <c r="I38" s="20">
        <f t="shared" si="11"/>
        <v>381.9</v>
      </c>
      <c r="J38" s="244">
        <v>333.5</v>
      </c>
      <c r="K38" s="242">
        <v>0</v>
      </c>
      <c r="L38" s="242">
        <v>0</v>
      </c>
      <c r="M38" s="361">
        <f t="shared" si="12"/>
        <v>333.5</v>
      </c>
      <c r="N38" s="361">
        <v>0</v>
      </c>
      <c r="O38" s="333">
        <f t="shared" si="13"/>
        <v>333.5</v>
      </c>
      <c r="P38" s="80">
        <v>173.2</v>
      </c>
      <c r="Q38" s="79">
        <v>0</v>
      </c>
      <c r="R38" s="79">
        <v>46.2</v>
      </c>
      <c r="S38" s="76">
        <f t="shared" si="14"/>
        <v>219.39999999999998</v>
      </c>
      <c r="T38" s="76"/>
      <c r="U38" s="20">
        <f t="shared" si="15"/>
        <v>219.39999999999998</v>
      </c>
      <c r="V38" s="80">
        <v>369.4</v>
      </c>
      <c r="W38" s="79">
        <v>0</v>
      </c>
      <c r="X38" s="79">
        <v>63.8</v>
      </c>
      <c r="Y38" s="76">
        <f t="shared" si="16"/>
        <v>433.2</v>
      </c>
      <c r="Z38" s="76">
        <v>0</v>
      </c>
      <c r="AA38" s="20">
        <f t="shared" si="17"/>
        <v>433.2</v>
      </c>
      <c r="AB38" s="21">
        <f t="shared" si="9"/>
        <v>1.2989505247376312</v>
      </c>
      <c r="AC38" s="3"/>
      <c r="AD38" s="3"/>
    </row>
    <row r="39" spans="1:30" ht="15.75" thickBot="1" x14ac:dyDescent="0.3">
      <c r="A39" s="1"/>
      <c r="B39" s="83" t="s">
        <v>71</v>
      </c>
      <c r="C39" s="84" t="s">
        <v>72</v>
      </c>
      <c r="D39" s="85">
        <v>763.7</v>
      </c>
      <c r="E39" s="85">
        <v>1757.7</v>
      </c>
      <c r="F39" s="89">
        <v>1413.9</v>
      </c>
      <c r="G39" s="76">
        <f t="shared" si="10"/>
        <v>3935.3</v>
      </c>
      <c r="H39" s="87"/>
      <c r="I39" s="50">
        <f t="shared" si="11"/>
        <v>3935.3</v>
      </c>
      <c r="J39" s="253">
        <v>502.4</v>
      </c>
      <c r="K39" s="85">
        <v>1265.3</v>
      </c>
      <c r="L39" s="85">
        <v>975.5</v>
      </c>
      <c r="M39" s="364">
        <f t="shared" si="12"/>
        <v>2743.2</v>
      </c>
      <c r="N39" s="364">
        <v>0</v>
      </c>
      <c r="O39" s="351">
        <f t="shared" si="13"/>
        <v>2743.2</v>
      </c>
      <c r="P39" s="88">
        <v>381.9</v>
      </c>
      <c r="Q39" s="89">
        <v>751.5</v>
      </c>
      <c r="R39" s="89">
        <v>483.2</v>
      </c>
      <c r="S39" s="87">
        <f t="shared" si="14"/>
        <v>1616.6000000000001</v>
      </c>
      <c r="T39" s="87"/>
      <c r="U39" s="50">
        <f t="shared" si="15"/>
        <v>1616.6000000000001</v>
      </c>
      <c r="V39" s="88">
        <v>949.9</v>
      </c>
      <c r="W39" s="89">
        <v>1045.5</v>
      </c>
      <c r="X39" s="89">
        <v>1615</v>
      </c>
      <c r="Y39" s="87">
        <f t="shared" si="16"/>
        <v>3610.4</v>
      </c>
      <c r="Z39" s="87">
        <v>0</v>
      </c>
      <c r="AA39" s="50">
        <f t="shared" si="17"/>
        <v>3610.4</v>
      </c>
      <c r="AB39" s="51">
        <f t="shared" si="9"/>
        <v>1.3161271507728203</v>
      </c>
      <c r="AC39" s="3"/>
      <c r="AD39" s="3"/>
    </row>
    <row r="40" spans="1:30" ht="15.75" thickBot="1" x14ac:dyDescent="0.3">
      <c r="A40" s="1"/>
      <c r="B40" s="52" t="s">
        <v>73</v>
      </c>
      <c r="C40" s="90" t="s">
        <v>74</v>
      </c>
      <c r="D40" s="91">
        <f>SUM(D36:D39)+SUM(D29:D33)</f>
        <v>14216.400000000001</v>
      </c>
      <c r="E40" s="91">
        <f>SUM(E36:E39)+SUM(E29:E33)</f>
        <v>126585.4</v>
      </c>
      <c r="F40" s="91">
        <f>SUM(F36:F39)+SUM(F29:F33)</f>
        <v>11313.599999999999</v>
      </c>
      <c r="G40" s="92">
        <f>SUM(D40:F40)</f>
        <v>152115.4</v>
      </c>
      <c r="H40" s="93">
        <f>SUM(H29:H33)+SUM(H36:H39)</f>
        <v>0</v>
      </c>
      <c r="I40" s="94">
        <f>SUM(I36:I39)+SUM(I29:I33)</f>
        <v>152115.4</v>
      </c>
      <c r="J40" s="365">
        <f>SUM(J36:J39)+SUM(J29:J33)</f>
        <v>15104.3</v>
      </c>
      <c r="K40" s="365">
        <f>SUM(K36:K39)+SUM(K29:K33)</f>
        <v>131671</v>
      </c>
      <c r="L40" s="365">
        <f>SUM(L36:L39)+SUM(L29:L33)</f>
        <v>12400.7</v>
      </c>
      <c r="M40" s="366">
        <f>SUM(J40:L40)</f>
        <v>159176</v>
      </c>
      <c r="N40" s="367">
        <f>SUM(N29:N33)+SUM(N36:N39)</f>
        <v>0</v>
      </c>
      <c r="O40" s="368">
        <f>SUM(O36:O39)+SUM(O29:O33)</f>
        <v>159176</v>
      </c>
      <c r="P40" s="91">
        <f>SUM(P36:P39)+SUM(P29:P33)</f>
        <v>8314.2000000000007</v>
      </c>
      <c r="Q40" s="91">
        <f>SUM(Q36:Q39)+SUM(Q29:Q33)</f>
        <v>64921.7</v>
      </c>
      <c r="R40" s="91">
        <f>SUM(R36:R39)+SUM(R29:R33)</f>
        <v>5676.2999999999993</v>
      </c>
      <c r="S40" s="92">
        <f>SUM(P40:R40)</f>
        <v>78912.2</v>
      </c>
      <c r="T40" s="93">
        <f>SUM(T29:T33)+SUM(T36:T39)</f>
        <v>0</v>
      </c>
      <c r="U40" s="94">
        <f>SUM(U36:U39)+SUM(U29:U33)</f>
        <v>78912.2</v>
      </c>
      <c r="V40" s="91">
        <f>SUM(V36:V39)+SUM(V29:V33)</f>
        <v>52084.6</v>
      </c>
      <c r="W40" s="91">
        <f>SUM(W36:W39)+SUM(W29:W33)</f>
        <v>103833</v>
      </c>
      <c r="X40" s="91">
        <f>SUM(X36:X39)+SUM(X29:X33)</f>
        <v>14011.6</v>
      </c>
      <c r="Y40" s="92">
        <f>SUM(V40:X40)</f>
        <v>169929.2</v>
      </c>
      <c r="Z40" s="93">
        <f>SUM(Z29:Z33)+SUM(Z36:Z39)</f>
        <v>0</v>
      </c>
      <c r="AA40" s="94">
        <f>SUM(AA36:AA39)+SUM(AA29:AA33)</f>
        <v>169929.2</v>
      </c>
      <c r="AB40" s="95">
        <f t="shared" si="9"/>
        <v>1.0675554103633715</v>
      </c>
      <c r="AC40" s="3"/>
      <c r="AD40" s="3"/>
    </row>
    <row r="41" spans="1:30" ht="19.5" thickBot="1" x14ac:dyDescent="0.35">
      <c r="A41" s="1"/>
      <c r="B41" s="96" t="s">
        <v>75</v>
      </c>
      <c r="C41" s="97" t="s">
        <v>76</v>
      </c>
      <c r="D41" s="98">
        <f t="shared" ref="D41:AA41" si="18">D25-D40</f>
        <v>1022.2999999999993</v>
      </c>
      <c r="E41" s="98">
        <f t="shared" si="18"/>
        <v>0</v>
      </c>
      <c r="F41" s="98">
        <f t="shared" si="18"/>
        <v>115.90000000000146</v>
      </c>
      <c r="G41" s="99">
        <f t="shared" si="18"/>
        <v>1138.2000000000116</v>
      </c>
      <c r="H41" s="99">
        <f t="shared" si="18"/>
        <v>67.3</v>
      </c>
      <c r="I41" s="100">
        <f t="shared" si="18"/>
        <v>1205.5</v>
      </c>
      <c r="J41" s="98">
        <f t="shared" si="18"/>
        <v>0</v>
      </c>
      <c r="K41" s="98">
        <f t="shared" si="18"/>
        <v>0</v>
      </c>
      <c r="L41" s="98">
        <f t="shared" si="18"/>
        <v>0</v>
      </c>
      <c r="M41" s="369">
        <f t="shared" si="18"/>
        <v>0</v>
      </c>
      <c r="N41" s="369">
        <f t="shared" si="18"/>
        <v>68</v>
      </c>
      <c r="O41" s="370">
        <f t="shared" si="18"/>
        <v>68</v>
      </c>
      <c r="P41" s="98">
        <f t="shared" si="18"/>
        <v>-897.00000000000091</v>
      </c>
      <c r="Q41" s="98">
        <f t="shared" si="18"/>
        <v>-1708.0999999999985</v>
      </c>
      <c r="R41" s="98">
        <f t="shared" si="18"/>
        <v>113.19999999999982</v>
      </c>
      <c r="S41" s="99">
        <f t="shared" si="18"/>
        <v>-2491.8999999999942</v>
      </c>
      <c r="T41" s="99">
        <f t="shared" si="18"/>
        <v>57.9</v>
      </c>
      <c r="U41" s="100">
        <f t="shared" si="18"/>
        <v>-2434</v>
      </c>
      <c r="V41" s="101">
        <f t="shared" si="18"/>
        <v>-2.7999999998428393E-2</v>
      </c>
      <c r="W41" s="98">
        <f t="shared" si="18"/>
        <v>0</v>
      </c>
      <c r="X41" s="98">
        <f t="shared" si="18"/>
        <v>0</v>
      </c>
      <c r="Y41" s="102">
        <f t="shared" si="18"/>
        <v>-2.8000000020256266E-2</v>
      </c>
      <c r="Z41" s="99">
        <f t="shared" si="18"/>
        <v>88</v>
      </c>
      <c r="AA41" s="100">
        <f t="shared" si="18"/>
        <v>87.971999999979744</v>
      </c>
      <c r="AB41" s="104">
        <f t="shared" si="9"/>
        <v>1.2937058823526433</v>
      </c>
      <c r="AC41" s="3"/>
      <c r="AD41" s="3"/>
    </row>
    <row r="42" spans="1:30" ht="15.75" thickBot="1" x14ac:dyDescent="0.3">
      <c r="A42" s="1"/>
      <c r="B42" s="105" t="s">
        <v>77</v>
      </c>
      <c r="C42" s="106" t="s">
        <v>78</v>
      </c>
      <c r="D42" s="107"/>
      <c r="E42" s="108"/>
      <c r="F42" s="108"/>
      <c r="G42" s="109"/>
      <c r="H42" s="110"/>
      <c r="I42" s="111">
        <f>I41-D16</f>
        <v>-13768.5</v>
      </c>
      <c r="J42" s="107"/>
      <c r="K42" s="108"/>
      <c r="L42" s="108"/>
      <c r="M42" s="109"/>
      <c r="N42" s="113"/>
      <c r="O42" s="111">
        <f>O41-J16</f>
        <v>-14890.8</v>
      </c>
      <c r="P42" s="107"/>
      <c r="Q42" s="108"/>
      <c r="R42" s="108"/>
      <c r="S42" s="109"/>
      <c r="T42" s="113"/>
      <c r="U42" s="111">
        <f>U41-P16</f>
        <v>-9851.2000000000007</v>
      </c>
      <c r="V42" s="107"/>
      <c r="W42" s="108"/>
      <c r="X42" s="108"/>
      <c r="Y42" s="109"/>
      <c r="Z42" s="113"/>
      <c r="AA42" s="111">
        <f>AA41-V16</f>
        <v>-13647.02800000002</v>
      </c>
      <c r="AB42" s="21">
        <f t="shared" si="9"/>
        <v>0.91647379590082612</v>
      </c>
      <c r="AC42" s="3"/>
      <c r="AD42" s="3"/>
    </row>
    <row r="43" spans="1:30" s="121" customFormat="1" ht="8.25" customHeight="1" thickBot="1" x14ac:dyDescent="0.3">
      <c r="A43" s="115"/>
      <c r="B43" s="116"/>
      <c r="C43" s="117"/>
      <c r="D43" s="118"/>
      <c r="E43" s="119"/>
      <c r="F43" s="119"/>
      <c r="G43" s="115"/>
      <c r="H43" s="119"/>
      <c r="I43" s="119"/>
      <c r="J43" s="118"/>
      <c r="K43" s="119"/>
      <c r="L43" s="119"/>
      <c r="M43" s="115"/>
      <c r="N43" s="119"/>
      <c r="O43" s="119"/>
      <c r="P43" s="119"/>
      <c r="Q43" s="119"/>
      <c r="R43" s="119"/>
      <c r="S43" s="119"/>
      <c r="T43" s="119"/>
      <c r="U43" s="119"/>
      <c r="V43" s="120"/>
      <c r="W43" s="120"/>
      <c r="X43" s="120"/>
      <c r="Y43" s="120"/>
      <c r="Z43" s="120"/>
      <c r="AA43" s="120"/>
      <c r="AB43" s="120"/>
      <c r="AC43" s="120"/>
      <c r="AD43" s="120"/>
    </row>
    <row r="44" spans="1:30" s="121" customFormat="1" ht="15.75" customHeight="1" thickBot="1" x14ac:dyDescent="0.3">
      <c r="A44" s="115"/>
      <c r="B44" s="122"/>
      <c r="C44" s="582" t="s">
        <v>79</v>
      </c>
      <c r="D44" s="123" t="s">
        <v>80</v>
      </c>
      <c r="E44" s="124" t="s">
        <v>81</v>
      </c>
      <c r="F44" s="125" t="s">
        <v>82</v>
      </c>
      <c r="G44" s="119"/>
      <c r="H44" s="119"/>
      <c r="I44" s="126"/>
      <c r="J44" s="123" t="s">
        <v>80</v>
      </c>
      <c r="K44" s="124" t="s">
        <v>81</v>
      </c>
      <c r="L44" s="125" t="s">
        <v>82</v>
      </c>
      <c r="M44" s="119"/>
      <c r="N44" s="119"/>
      <c r="O44" s="119"/>
      <c r="P44" s="123" t="s">
        <v>80</v>
      </c>
      <c r="Q44" s="124" t="s">
        <v>81</v>
      </c>
      <c r="R44" s="125" t="s">
        <v>82</v>
      </c>
      <c r="S44" s="120"/>
      <c r="T44" s="120"/>
      <c r="U44" s="120"/>
      <c r="V44" s="123" t="s">
        <v>80</v>
      </c>
      <c r="W44" s="124" t="s">
        <v>81</v>
      </c>
      <c r="X44" s="125" t="s">
        <v>82</v>
      </c>
      <c r="Y44" s="120"/>
      <c r="Z44" s="120"/>
      <c r="AA44" s="120"/>
      <c r="AB44" s="120"/>
      <c r="AC44" s="120"/>
      <c r="AD44" s="120"/>
    </row>
    <row r="45" spans="1:30" ht="15.75" thickBot="1" x14ac:dyDescent="0.3">
      <c r="A45" s="1"/>
      <c r="B45" s="122"/>
      <c r="C45" s="583"/>
      <c r="D45" s="127">
        <v>0</v>
      </c>
      <c r="E45" s="128">
        <v>0</v>
      </c>
      <c r="F45" s="129">
        <v>0</v>
      </c>
      <c r="G45" s="119"/>
      <c r="H45" s="119"/>
      <c r="I45" s="126"/>
      <c r="J45" s="127">
        <v>0</v>
      </c>
      <c r="K45" s="128">
        <v>0</v>
      </c>
      <c r="L45" s="129">
        <v>0</v>
      </c>
      <c r="M45" s="130"/>
      <c r="N45" s="130"/>
      <c r="O45" s="130"/>
      <c r="P45" s="127">
        <f>SUM(R45+Q45)</f>
        <v>5</v>
      </c>
      <c r="Q45" s="128">
        <v>0</v>
      </c>
      <c r="R45" s="129">
        <v>5</v>
      </c>
      <c r="S45" s="3"/>
      <c r="T45" s="3"/>
      <c r="U45" s="3"/>
      <c r="V45" s="127">
        <v>0</v>
      </c>
      <c r="W45" s="128">
        <v>0</v>
      </c>
      <c r="X45" s="129">
        <v>0</v>
      </c>
      <c r="Y45" s="3"/>
      <c r="Z45" s="3"/>
      <c r="AA45" s="3"/>
      <c r="AB45" s="3"/>
      <c r="AC45" s="3"/>
      <c r="AD45" s="3"/>
    </row>
    <row r="46" spans="1:30" s="121" customFormat="1" ht="8.25" customHeight="1" thickBot="1" x14ac:dyDescent="0.3">
      <c r="A46" s="115"/>
      <c r="B46" s="122"/>
      <c r="C46" s="117"/>
      <c r="D46" s="130"/>
      <c r="E46" s="119"/>
      <c r="F46" s="119"/>
      <c r="G46" s="119"/>
      <c r="H46" s="119"/>
      <c r="I46" s="126"/>
      <c r="J46" s="119"/>
      <c r="K46" s="119"/>
      <c r="L46" s="119"/>
      <c r="M46" s="119"/>
      <c r="N46" s="119"/>
      <c r="O46" s="126"/>
      <c r="P46" s="126"/>
      <c r="Q46" s="126"/>
      <c r="R46" s="126"/>
      <c r="S46" s="126"/>
      <c r="T46" s="126"/>
      <c r="U46" s="126"/>
      <c r="V46" s="120"/>
      <c r="W46" s="120"/>
      <c r="X46" s="120"/>
      <c r="Y46" s="120"/>
      <c r="Z46" s="120"/>
      <c r="AA46" s="120"/>
      <c r="AB46" s="120"/>
      <c r="AC46" s="120"/>
      <c r="AD46" s="120"/>
    </row>
    <row r="47" spans="1:30" s="121" customFormat="1" ht="37.5" customHeight="1" thickBot="1" x14ac:dyDescent="0.3">
      <c r="A47" s="115"/>
      <c r="B47" s="122"/>
      <c r="C47" s="582" t="s">
        <v>83</v>
      </c>
      <c r="D47" s="131" t="s">
        <v>84</v>
      </c>
      <c r="E47" s="132" t="s">
        <v>85</v>
      </c>
      <c r="F47" s="119"/>
      <c r="G47" s="119"/>
      <c r="H47" s="119"/>
      <c r="I47" s="126"/>
      <c r="J47" s="131" t="s">
        <v>84</v>
      </c>
      <c r="K47" s="132" t="s">
        <v>85</v>
      </c>
      <c r="L47" s="133"/>
      <c r="M47" s="133"/>
      <c r="N47" s="120"/>
      <c r="O47" s="120"/>
      <c r="P47" s="131" t="s">
        <v>84</v>
      </c>
      <c r="Q47" s="132" t="s">
        <v>85</v>
      </c>
      <c r="R47" s="120"/>
      <c r="S47" s="120"/>
      <c r="T47" s="120"/>
      <c r="U47" s="120"/>
      <c r="V47" s="131" t="s">
        <v>84</v>
      </c>
      <c r="W47" s="132" t="s">
        <v>85</v>
      </c>
      <c r="X47" s="120"/>
      <c r="Y47" s="120"/>
      <c r="Z47" s="120"/>
      <c r="AA47" s="120"/>
      <c r="AB47" s="120"/>
      <c r="AC47" s="120"/>
      <c r="AD47" s="120"/>
    </row>
    <row r="48" spans="1:30" ht="15.75" thickBot="1" x14ac:dyDescent="0.3">
      <c r="A48" s="1"/>
      <c r="B48" s="134"/>
      <c r="C48" s="584"/>
      <c r="D48" s="127">
        <v>645</v>
      </c>
      <c r="E48" s="135">
        <v>0</v>
      </c>
      <c r="F48" s="119"/>
      <c r="G48" s="119"/>
      <c r="H48" s="119"/>
      <c r="I48" s="126"/>
      <c r="J48" s="127">
        <v>0</v>
      </c>
      <c r="K48" s="135">
        <v>0</v>
      </c>
      <c r="L48" s="136"/>
      <c r="M48" s="136"/>
      <c r="N48" s="3"/>
      <c r="O48" s="3"/>
      <c r="P48" s="127">
        <v>0</v>
      </c>
      <c r="Q48" s="135">
        <v>0</v>
      </c>
      <c r="R48" s="3"/>
      <c r="S48" s="3"/>
      <c r="T48" s="3"/>
      <c r="U48" s="3"/>
      <c r="V48" s="127">
        <v>0</v>
      </c>
      <c r="W48" s="135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34"/>
      <c r="C49" s="117"/>
      <c r="D49" s="119"/>
      <c r="E49" s="119"/>
      <c r="F49" s="119"/>
      <c r="G49" s="119"/>
      <c r="H49" s="119"/>
      <c r="I49" s="126"/>
      <c r="J49" s="119"/>
      <c r="K49" s="119"/>
      <c r="L49" s="119"/>
      <c r="M49" s="119"/>
      <c r="N49" s="119"/>
      <c r="O49" s="126"/>
      <c r="P49" s="126"/>
      <c r="Q49" s="126"/>
      <c r="R49" s="126"/>
      <c r="S49" s="126"/>
      <c r="T49" s="126"/>
      <c r="U49" s="126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1"/>
      <c r="B50" s="134"/>
      <c r="C50" s="137" t="s">
        <v>86</v>
      </c>
      <c r="D50" s="138" t="s">
        <v>87</v>
      </c>
      <c r="E50" s="138" t="s">
        <v>88</v>
      </c>
      <c r="F50" s="138" t="s">
        <v>89</v>
      </c>
      <c r="G50" s="138" t="s">
        <v>90</v>
      </c>
      <c r="H50" s="119"/>
      <c r="I50" s="3"/>
      <c r="J50" s="138" t="s">
        <v>87</v>
      </c>
      <c r="K50" s="138" t="s">
        <v>88</v>
      </c>
      <c r="L50" s="138" t="s">
        <v>89</v>
      </c>
      <c r="M50" s="138" t="s">
        <v>91</v>
      </c>
      <c r="N50" s="3"/>
      <c r="O50" s="3"/>
      <c r="P50" s="138" t="s">
        <v>87</v>
      </c>
      <c r="Q50" s="138" t="s">
        <v>88</v>
      </c>
      <c r="R50" s="138" t="s">
        <v>89</v>
      </c>
      <c r="S50" s="138" t="s">
        <v>91</v>
      </c>
      <c r="T50" s="3"/>
      <c r="U50" s="3"/>
      <c r="V50" s="138" t="s">
        <v>92</v>
      </c>
      <c r="W50" s="138" t="s">
        <v>88</v>
      </c>
      <c r="X50" s="138" t="s">
        <v>89</v>
      </c>
      <c r="Y50" s="138" t="s">
        <v>91</v>
      </c>
      <c r="Z50" s="3"/>
      <c r="AA50" s="3"/>
      <c r="AB50" s="3"/>
      <c r="AC50" s="3"/>
      <c r="AD50" s="3"/>
    </row>
    <row r="51" spans="1:30" x14ac:dyDescent="0.25">
      <c r="A51" s="1"/>
      <c r="B51" s="134"/>
      <c r="C51" s="139" t="s">
        <v>93</v>
      </c>
      <c r="D51" s="140">
        <f>SUM(D52:D55)</f>
        <v>3986.9</v>
      </c>
      <c r="E51" s="140">
        <f>SUM(E52:E55)</f>
        <v>4230</v>
      </c>
      <c r="F51" s="140">
        <f>SUM(F52:F55)</f>
        <v>6979.5</v>
      </c>
      <c r="G51" s="141">
        <f>D51+E51-F51</f>
        <v>1237.3999999999996</v>
      </c>
      <c r="H51" s="119"/>
      <c r="I51" s="3"/>
      <c r="J51" s="300">
        <f>SUM(J52:J55)</f>
        <v>1411</v>
      </c>
      <c r="K51" s="300">
        <f>SUM(K52:K55)</f>
        <v>1820</v>
      </c>
      <c r="L51" s="300">
        <f>SUM(L52:L55)</f>
        <v>1670</v>
      </c>
      <c r="M51" s="301">
        <f>J51+K51-L51</f>
        <v>1561</v>
      </c>
      <c r="N51" s="3"/>
      <c r="O51" s="3"/>
      <c r="P51" s="141">
        <v>1237.3999999999996</v>
      </c>
      <c r="Q51" s="140">
        <f>SUM(Q52:Q55)</f>
        <v>4310</v>
      </c>
      <c r="R51" s="140">
        <f>SUM(R52:R55)</f>
        <v>2380</v>
      </c>
      <c r="S51" s="141">
        <f>P51+Q51-R51</f>
        <v>3167.3999999999996</v>
      </c>
      <c r="T51" s="3"/>
      <c r="U51" s="3"/>
      <c r="V51" s="140">
        <v>3167.3999999999996</v>
      </c>
      <c r="W51" s="140">
        <f>SUM(W52:W55)</f>
        <v>2250</v>
      </c>
      <c r="X51" s="140">
        <f>SUM(X52:X55)</f>
        <v>2700</v>
      </c>
      <c r="Y51" s="141">
        <f>V51+W51-X51</f>
        <v>2717.3999999999996</v>
      </c>
      <c r="Z51" s="3"/>
      <c r="AA51" s="3"/>
      <c r="AB51" s="3"/>
      <c r="AC51" s="3"/>
      <c r="AD51" s="3"/>
    </row>
    <row r="52" spans="1:30" x14ac:dyDescent="0.25">
      <c r="A52" s="1"/>
      <c r="B52" s="134"/>
      <c r="C52" s="139" t="s">
        <v>94</v>
      </c>
      <c r="D52" s="140">
        <v>3175.6</v>
      </c>
      <c r="E52" s="140">
        <v>912.9</v>
      </c>
      <c r="F52" s="140">
        <v>3834.3</v>
      </c>
      <c r="G52" s="141">
        <f>D52+E52-F52</f>
        <v>254.19999999999982</v>
      </c>
      <c r="H52" s="119"/>
      <c r="I52" s="3"/>
      <c r="J52" s="300">
        <v>456</v>
      </c>
      <c r="K52" s="300">
        <v>350</v>
      </c>
      <c r="L52" s="300">
        <v>250</v>
      </c>
      <c r="M52" s="301">
        <f>J52+K52-L52</f>
        <v>556</v>
      </c>
      <c r="N52" s="3"/>
      <c r="O52" s="3"/>
      <c r="P52" s="141">
        <v>254.19999999999982</v>
      </c>
      <c r="Q52" s="140">
        <v>2310</v>
      </c>
      <c r="R52" s="140">
        <v>650</v>
      </c>
      <c r="S52" s="141">
        <f>P52+Q52-R52</f>
        <v>1914.1999999999998</v>
      </c>
      <c r="T52" s="3"/>
      <c r="U52" s="3"/>
      <c r="V52" s="140">
        <v>1914.1999999999998</v>
      </c>
      <c r="W52" s="140">
        <v>500</v>
      </c>
      <c r="X52" s="140">
        <v>1300</v>
      </c>
      <c r="Y52" s="141">
        <f>V52+W52-X52</f>
        <v>1114.1999999999998</v>
      </c>
      <c r="Z52" s="3"/>
      <c r="AA52" s="3"/>
      <c r="AB52" s="3"/>
      <c r="AC52" s="3"/>
      <c r="AD52" s="3"/>
    </row>
    <row r="53" spans="1:30" x14ac:dyDescent="0.25">
      <c r="A53" s="1"/>
      <c r="B53" s="134"/>
      <c r="C53" s="139" t="s">
        <v>95</v>
      </c>
      <c r="D53" s="140">
        <v>543.20000000000005</v>
      </c>
      <c r="E53" s="140">
        <v>2375.3000000000002</v>
      </c>
      <c r="F53" s="140">
        <v>2558.3000000000002</v>
      </c>
      <c r="G53" s="141">
        <f>D53+E53-F53</f>
        <v>360.19999999999982</v>
      </c>
      <c r="H53" s="119"/>
      <c r="I53" s="3"/>
      <c r="J53" s="300">
        <v>586</v>
      </c>
      <c r="K53" s="300">
        <v>450</v>
      </c>
      <c r="L53" s="300">
        <v>500</v>
      </c>
      <c r="M53" s="301">
        <f>J53+K53-L53</f>
        <v>536</v>
      </c>
      <c r="N53" s="3"/>
      <c r="O53" s="3"/>
      <c r="P53" s="141">
        <v>360.19999999999982</v>
      </c>
      <c r="Q53" s="140">
        <v>900</v>
      </c>
      <c r="R53" s="140">
        <v>750</v>
      </c>
      <c r="S53" s="141">
        <f>P53+Q53-R53</f>
        <v>510.19999999999982</v>
      </c>
      <c r="T53" s="3"/>
      <c r="U53" s="3"/>
      <c r="V53" s="140">
        <v>510.19999999999982</v>
      </c>
      <c r="W53" s="140">
        <v>700</v>
      </c>
      <c r="X53" s="140">
        <v>500</v>
      </c>
      <c r="Y53" s="141">
        <f>V53+W53-X53</f>
        <v>710.19999999999982</v>
      </c>
      <c r="Z53" s="3"/>
      <c r="AA53" s="3"/>
      <c r="AB53" s="3"/>
      <c r="AC53" s="3"/>
      <c r="AD53" s="3"/>
    </row>
    <row r="54" spans="1:30" x14ac:dyDescent="0.25">
      <c r="A54" s="1"/>
      <c r="B54" s="134"/>
      <c r="C54" s="139" t="s">
        <v>96</v>
      </c>
      <c r="D54" s="140">
        <v>198.6</v>
      </c>
      <c r="E54" s="140">
        <v>0</v>
      </c>
      <c r="F54" s="140">
        <v>0</v>
      </c>
      <c r="G54" s="141">
        <f>D54+E54-F54</f>
        <v>198.6</v>
      </c>
      <c r="H54" s="119"/>
      <c r="I54" s="3"/>
      <c r="J54" s="300">
        <v>199</v>
      </c>
      <c r="K54" s="300">
        <v>0</v>
      </c>
      <c r="L54" s="300">
        <v>0</v>
      </c>
      <c r="M54" s="301">
        <f>J54+K54-L54</f>
        <v>199</v>
      </c>
      <c r="N54" s="3"/>
      <c r="O54" s="3"/>
      <c r="P54" s="141">
        <v>198.6</v>
      </c>
      <c r="Q54" s="140">
        <v>100</v>
      </c>
      <c r="R54" s="140">
        <v>0</v>
      </c>
      <c r="S54" s="141">
        <f>P54+Q54-R54</f>
        <v>298.60000000000002</v>
      </c>
      <c r="T54" s="3"/>
      <c r="U54" s="3"/>
      <c r="V54" s="140">
        <v>298.60000000000002</v>
      </c>
      <c r="W54" s="140">
        <v>50</v>
      </c>
      <c r="X54" s="140">
        <v>0</v>
      </c>
      <c r="Y54" s="141">
        <f>V54+W54-X54</f>
        <v>348.6</v>
      </c>
      <c r="Z54" s="3"/>
      <c r="AA54" s="3"/>
      <c r="AB54" s="3"/>
      <c r="AC54" s="3"/>
      <c r="AD54" s="3"/>
    </row>
    <row r="55" spans="1:30" x14ac:dyDescent="0.25">
      <c r="A55" s="1"/>
      <c r="B55" s="134"/>
      <c r="C55" s="142" t="s">
        <v>97</v>
      </c>
      <c r="D55" s="140">
        <v>69.5</v>
      </c>
      <c r="E55" s="140">
        <v>941.8</v>
      </c>
      <c r="F55" s="140">
        <v>586.9</v>
      </c>
      <c r="G55" s="141">
        <f>D55+E55-F55</f>
        <v>424.4</v>
      </c>
      <c r="H55" s="119"/>
      <c r="I55" s="3"/>
      <c r="J55" s="300">
        <v>170</v>
      </c>
      <c r="K55" s="300">
        <v>1020</v>
      </c>
      <c r="L55" s="300">
        <v>920</v>
      </c>
      <c r="M55" s="301">
        <f>J55+K55-L55</f>
        <v>270</v>
      </c>
      <c r="N55" s="3"/>
      <c r="O55" s="3"/>
      <c r="P55" s="141">
        <v>424.4</v>
      </c>
      <c r="Q55" s="140">
        <v>1000</v>
      </c>
      <c r="R55" s="140">
        <v>980</v>
      </c>
      <c r="S55" s="141">
        <f>P55+Q55-R55</f>
        <v>444.40000000000009</v>
      </c>
      <c r="T55" s="3"/>
      <c r="U55" s="3"/>
      <c r="V55" s="140">
        <v>444.40000000000009</v>
      </c>
      <c r="W55" s="140">
        <v>1000</v>
      </c>
      <c r="X55" s="140">
        <v>900</v>
      </c>
      <c r="Y55" s="141">
        <f>V55+W55-X55</f>
        <v>544.40000000000009</v>
      </c>
      <c r="Z55" s="3"/>
      <c r="AA55" s="3"/>
      <c r="AB55" s="3"/>
      <c r="AC55" s="3"/>
      <c r="AD55" s="3"/>
    </row>
    <row r="56" spans="1:30" ht="10.5" customHeight="1" x14ac:dyDescent="0.25">
      <c r="A56" s="1"/>
      <c r="B56" s="134"/>
      <c r="C56" s="117"/>
      <c r="D56" s="119"/>
      <c r="E56" s="119"/>
      <c r="F56" s="119"/>
      <c r="G56" s="119"/>
      <c r="H56" s="11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34"/>
      <c r="C57" s="137" t="s">
        <v>98</v>
      </c>
      <c r="D57" s="138" t="s">
        <v>99</v>
      </c>
      <c r="E57" s="138" t="s">
        <v>100</v>
      </c>
      <c r="F57" s="119"/>
      <c r="G57" s="119"/>
      <c r="H57" s="119"/>
      <c r="I57" s="126"/>
      <c r="J57" s="138" t="s">
        <v>101</v>
      </c>
      <c r="K57" s="119"/>
      <c r="L57" s="119"/>
      <c r="M57" s="119"/>
      <c r="N57" s="119"/>
      <c r="O57" s="126"/>
      <c r="P57" s="138" t="s">
        <v>102</v>
      </c>
      <c r="Q57" s="126"/>
      <c r="R57" s="126"/>
      <c r="S57" s="3"/>
      <c r="T57" s="3"/>
      <c r="U57" s="3"/>
      <c r="V57" s="704" t="s">
        <v>98</v>
      </c>
      <c r="W57" s="704"/>
      <c r="X57" s="704"/>
      <c r="Y57" s="138" t="s">
        <v>101</v>
      </c>
      <c r="Z57" s="3"/>
      <c r="AA57" s="3"/>
      <c r="AB57" s="3"/>
      <c r="AC57" s="3"/>
      <c r="AD57" s="3"/>
    </row>
    <row r="58" spans="1:30" x14ac:dyDescent="0.25">
      <c r="A58" s="1"/>
      <c r="B58" s="134"/>
      <c r="C58" s="371" t="s">
        <v>128</v>
      </c>
      <c r="D58" s="372">
        <v>222</v>
      </c>
      <c r="E58" s="372">
        <v>222</v>
      </c>
      <c r="F58" s="119"/>
      <c r="G58" s="119"/>
      <c r="H58" s="119"/>
      <c r="I58" s="126"/>
      <c r="J58" s="143">
        <v>219</v>
      </c>
      <c r="K58" s="119"/>
      <c r="L58" s="119"/>
      <c r="M58" s="119"/>
      <c r="N58" s="119"/>
      <c r="O58" s="126"/>
      <c r="P58" s="143">
        <v>222</v>
      </c>
      <c r="Q58" s="126"/>
      <c r="R58" s="126"/>
      <c r="S58" s="3"/>
      <c r="T58" s="3"/>
      <c r="U58" s="3"/>
      <c r="V58" s="698" t="s">
        <v>128</v>
      </c>
      <c r="W58" s="698"/>
      <c r="X58" s="698"/>
      <c r="Y58" s="143">
        <v>222</v>
      </c>
      <c r="Z58" s="3"/>
      <c r="AA58" s="3"/>
      <c r="AB58" s="3"/>
      <c r="AC58" s="3"/>
      <c r="AD58" s="3"/>
    </row>
    <row r="59" spans="1:30" x14ac:dyDescent="0.25">
      <c r="A59" s="1"/>
      <c r="B59" s="134"/>
      <c r="C59" s="373"/>
      <c r="D59" s="374"/>
      <c r="E59" s="374"/>
      <c r="F59" s="119"/>
      <c r="G59" s="119"/>
      <c r="H59" s="119"/>
      <c r="I59" s="126"/>
      <c r="J59" s="130"/>
      <c r="K59" s="119"/>
      <c r="L59" s="119"/>
      <c r="M59" s="119"/>
      <c r="N59" s="119"/>
      <c r="O59" s="126"/>
      <c r="P59" s="130"/>
      <c r="Q59" s="126"/>
      <c r="R59" s="126"/>
      <c r="S59" s="3"/>
      <c r="T59" s="3"/>
      <c r="U59" s="3"/>
      <c r="V59" s="698" t="s">
        <v>129</v>
      </c>
      <c r="W59" s="698"/>
      <c r="X59" s="698"/>
      <c r="Y59" s="143">
        <v>77</v>
      </c>
      <c r="Z59" s="3"/>
      <c r="AA59" s="3"/>
      <c r="AB59" s="3"/>
      <c r="AC59" s="3"/>
      <c r="AD59" s="3"/>
    </row>
    <row r="60" spans="1:30" s="3" customFormat="1" x14ac:dyDescent="0.25">
      <c r="A60" s="1"/>
      <c r="B60" s="134"/>
      <c r="C60" s="117"/>
      <c r="D60" s="130"/>
      <c r="E60" s="130"/>
      <c r="F60" s="119"/>
      <c r="G60" s="119"/>
      <c r="H60" s="119"/>
      <c r="I60" s="126"/>
      <c r="J60" s="130"/>
      <c r="K60" s="119"/>
      <c r="L60" s="119"/>
      <c r="M60" s="119"/>
      <c r="N60" s="119"/>
      <c r="O60" s="126"/>
      <c r="P60" s="130"/>
      <c r="Q60" s="126"/>
      <c r="R60" s="126"/>
      <c r="S60" s="126"/>
      <c r="T60" s="126"/>
      <c r="U60" s="126"/>
      <c r="V60" s="130"/>
    </row>
    <row r="61" spans="1:30" x14ac:dyDescent="0.25">
      <c r="A61" s="1"/>
      <c r="B61" s="134"/>
      <c r="C61" s="117"/>
      <c r="D61" s="699"/>
      <c r="E61" s="699"/>
      <c r="F61" s="119"/>
      <c r="G61" s="119"/>
      <c r="H61" s="119"/>
      <c r="I61" s="126"/>
      <c r="J61" s="375"/>
      <c r="K61" s="119"/>
      <c r="L61" s="119"/>
      <c r="M61" s="119"/>
      <c r="N61" s="119"/>
      <c r="O61" s="126"/>
      <c r="P61" s="375"/>
      <c r="Q61" s="126"/>
      <c r="R61" s="126"/>
      <c r="S61" s="126"/>
      <c r="T61" s="126"/>
      <c r="U61" s="126"/>
      <c r="V61" s="700" t="s">
        <v>130</v>
      </c>
      <c r="W61" s="701"/>
      <c r="X61" s="702"/>
      <c r="Y61" s="143">
        <v>27621064</v>
      </c>
      <c r="Z61" s="3"/>
      <c r="AA61" s="3"/>
      <c r="AB61" s="3"/>
      <c r="AC61" s="3"/>
      <c r="AD61" s="3"/>
    </row>
    <row r="62" spans="1:30" s="3" customFormat="1" x14ac:dyDescent="0.25">
      <c r="A62" s="1"/>
      <c r="B62" s="134"/>
      <c r="C62" s="117"/>
      <c r="D62" s="375"/>
      <c r="E62" s="375"/>
      <c r="F62" s="119"/>
      <c r="G62" s="119"/>
      <c r="H62" s="119"/>
      <c r="I62" s="126"/>
      <c r="J62" s="375"/>
      <c r="K62" s="119"/>
      <c r="L62" s="119"/>
      <c r="M62" s="119"/>
      <c r="N62" s="119"/>
      <c r="O62" s="126"/>
      <c r="P62" s="375"/>
      <c r="Q62" s="126"/>
      <c r="R62" s="126"/>
      <c r="S62" s="126"/>
      <c r="T62" s="126"/>
      <c r="U62" s="126"/>
      <c r="V62" s="130"/>
    </row>
    <row r="63" spans="1:30" x14ac:dyDescent="0.25">
      <c r="A63" s="1"/>
      <c r="B63" s="134"/>
      <c r="C63" s="3"/>
      <c r="D63" s="3"/>
      <c r="E63" s="3"/>
      <c r="F63" s="118"/>
      <c r="G63" s="119"/>
      <c r="H63" s="119"/>
      <c r="I63" s="126"/>
      <c r="J63" s="375"/>
      <c r="K63" s="375"/>
      <c r="L63" s="3"/>
      <c r="M63" s="376"/>
      <c r="N63" s="3"/>
      <c r="O63" s="3"/>
      <c r="P63" s="3"/>
      <c r="Q63" s="118"/>
      <c r="R63" s="3"/>
      <c r="S63" s="3"/>
      <c r="T63" s="3"/>
      <c r="U63" s="703" t="s">
        <v>131</v>
      </c>
      <c r="V63" s="703"/>
      <c r="W63" s="703"/>
      <c r="X63" s="703"/>
      <c r="Y63" s="377" t="s">
        <v>132</v>
      </c>
      <c r="Z63" s="3"/>
      <c r="AA63" s="378" t="s">
        <v>133</v>
      </c>
      <c r="AB63" s="379"/>
      <c r="AC63" s="3"/>
      <c r="AD63" s="4"/>
    </row>
    <row r="64" spans="1:30" x14ac:dyDescent="0.25">
      <c r="A64" s="1"/>
      <c r="B64" s="134"/>
      <c r="C64" s="3"/>
      <c r="D64" s="3"/>
      <c r="E64" s="3"/>
      <c r="F64" s="119"/>
      <c r="G64" s="119"/>
      <c r="H64" s="119"/>
      <c r="I64" s="126"/>
      <c r="J64" s="375"/>
      <c r="K64" s="375"/>
      <c r="L64" s="3"/>
      <c r="M64" s="376"/>
      <c r="N64" s="3"/>
      <c r="O64" s="3"/>
      <c r="P64" s="3"/>
      <c r="Q64" s="119"/>
      <c r="R64" s="3"/>
      <c r="S64" s="3"/>
      <c r="T64" s="3"/>
      <c r="U64" s="698" t="s">
        <v>134</v>
      </c>
      <c r="V64" s="698"/>
      <c r="W64" s="698"/>
      <c r="X64" s="698"/>
      <c r="Y64" s="380">
        <v>27621.1</v>
      </c>
      <c r="Z64" s="3"/>
      <c r="AA64" s="381" t="s">
        <v>135</v>
      </c>
      <c r="AB64" s="382">
        <v>1868928</v>
      </c>
      <c r="AC64" s="3"/>
      <c r="AD64" s="4"/>
    </row>
    <row r="65" spans="1:30" x14ac:dyDescent="0.25">
      <c r="A65" s="1"/>
      <c r="B65" s="134"/>
      <c r="C65" s="3"/>
      <c r="D65" s="3"/>
      <c r="E65" s="3"/>
      <c r="F65" s="119"/>
      <c r="G65" s="119"/>
      <c r="H65" s="119"/>
      <c r="I65" s="126"/>
      <c r="J65" s="375"/>
      <c r="K65" s="375"/>
      <c r="L65" s="3"/>
      <c r="M65" s="376"/>
      <c r="N65" s="3"/>
      <c r="O65" s="3"/>
      <c r="P65" s="3"/>
      <c r="Q65" s="119"/>
      <c r="R65" s="3"/>
      <c r="S65" s="3"/>
      <c r="T65" s="3"/>
      <c r="U65" s="698" t="s">
        <v>136</v>
      </c>
      <c r="V65" s="698"/>
      <c r="W65" s="698"/>
      <c r="X65" s="698"/>
      <c r="Y65" s="380">
        <v>10277.200000000001</v>
      </c>
      <c r="Z65" s="3"/>
      <c r="AA65" s="381" t="s">
        <v>137</v>
      </c>
      <c r="AB65" s="382">
        <v>537660</v>
      </c>
      <c r="AC65" s="3"/>
      <c r="AD65" s="4"/>
    </row>
    <row r="66" spans="1:30" x14ac:dyDescent="0.25">
      <c r="A66" s="1"/>
      <c r="B66" s="134"/>
      <c r="C66" s="3"/>
      <c r="D66" s="3"/>
      <c r="E66" s="3"/>
      <c r="F66" s="119"/>
      <c r="G66" s="119"/>
      <c r="H66" s="119"/>
      <c r="I66" s="126"/>
      <c r="J66" s="375"/>
      <c r="K66" s="375"/>
      <c r="L66" s="3"/>
      <c r="M66" s="376"/>
      <c r="N66" s="3"/>
      <c r="O66" s="3"/>
      <c r="P66" s="3"/>
      <c r="Q66" s="119"/>
      <c r="R66" s="3"/>
      <c r="S66" s="3"/>
      <c r="T66" s="3"/>
      <c r="U66" s="698" t="s">
        <v>138</v>
      </c>
      <c r="V66" s="698"/>
      <c r="W66" s="698"/>
      <c r="X66" s="698"/>
      <c r="Y66" s="380">
        <v>0</v>
      </c>
      <c r="Z66" s="3"/>
      <c r="AA66" s="381" t="s">
        <v>139</v>
      </c>
      <c r="AB66" s="382">
        <v>3378720</v>
      </c>
      <c r="AC66" s="3"/>
      <c r="AD66" s="4"/>
    </row>
    <row r="67" spans="1:30" x14ac:dyDescent="0.25">
      <c r="A67" s="3"/>
      <c r="B67" s="3"/>
      <c r="C67" s="3"/>
      <c r="D67" s="3"/>
      <c r="E67" s="3"/>
      <c r="F67" s="120"/>
      <c r="G67" s="3"/>
      <c r="H67" s="3"/>
      <c r="I67" s="3"/>
      <c r="J67" s="120"/>
      <c r="K67" s="120"/>
      <c r="L67" s="3"/>
      <c r="M67" s="376"/>
      <c r="N67" s="3"/>
      <c r="O67" s="3"/>
      <c r="P67" s="3"/>
      <c r="Q67" s="3"/>
      <c r="R67" s="3"/>
      <c r="S67" s="3"/>
      <c r="T67" s="3"/>
      <c r="U67" s="698" t="s">
        <v>140</v>
      </c>
      <c r="V67" s="698"/>
      <c r="W67" s="698"/>
      <c r="X67" s="698"/>
      <c r="Y67" s="380">
        <v>276.2</v>
      </c>
      <c r="Z67" s="3"/>
      <c r="AA67" s="3"/>
      <c r="AB67" s="3"/>
      <c r="AC67" s="3"/>
      <c r="AD67" s="4"/>
    </row>
    <row r="68" spans="1:30" x14ac:dyDescent="0.25">
      <c r="A68" s="1"/>
      <c r="B68" s="134"/>
      <c r="C68" s="3"/>
      <c r="D68" s="3"/>
      <c r="E68" s="3"/>
      <c r="F68" s="119"/>
      <c r="G68" s="119"/>
      <c r="H68" s="119"/>
      <c r="I68" s="126"/>
      <c r="J68" s="136"/>
      <c r="K68" s="136"/>
      <c r="L68" s="3"/>
      <c r="M68" s="376"/>
      <c r="N68" s="3"/>
      <c r="O68" s="3"/>
      <c r="P68" s="3"/>
      <c r="Q68" s="119"/>
      <c r="R68" s="3"/>
      <c r="S68" s="3"/>
      <c r="T68" s="3"/>
      <c r="U68" s="698" t="s">
        <v>141</v>
      </c>
      <c r="V68" s="698"/>
      <c r="W68" s="698"/>
      <c r="X68" s="698"/>
      <c r="Y68" s="380">
        <v>175.1</v>
      </c>
      <c r="Z68" s="3"/>
      <c r="AA68" s="3"/>
      <c r="AB68" s="3"/>
      <c r="AC68" s="3"/>
      <c r="AD68" s="4"/>
    </row>
    <row r="69" spans="1:30" x14ac:dyDescent="0.25">
      <c r="A69" s="1"/>
      <c r="B69" s="134"/>
      <c r="C69" s="3"/>
      <c r="D69" s="3"/>
      <c r="E69" s="3"/>
      <c r="F69" s="119"/>
      <c r="G69" s="119"/>
      <c r="H69" s="119"/>
      <c r="I69" s="126"/>
      <c r="J69" s="375"/>
      <c r="K69" s="375"/>
      <c r="L69" s="3"/>
      <c r="M69" s="376"/>
      <c r="N69" s="3"/>
      <c r="O69" s="3"/>
      <c r="P69" s="3"/>
      <c r="Q69" s="119"/>
      <c r="R69" s="3"/>
      <c r="S69" s="3"/>
      <c r="T69" s="3"/>
      <c r="U69" s="697" t="s">
        <v>142</v>
      </c>
      <c r="V69" s="697"/>
      <c r="W69" s="697"/>
      <c r="X69" s="697"/>
      <c r="Y69" s="380">
        <v>0</v>
      </c>
      <c r="Z69" s="3"/>
      <c r="AA69" s="3"/>
      <c r="AB69" s="3"/>
      <c r="AC69" s="3"/>
      <c r="AD69" s="4"/>
    </row>
    <row r="70" spans="1:30" x14ac:dyDescent="0.25">
      <c r="A70" s="1"/>
      <c r="B70" s="134"/>
      <c r="C70" s="3"/>
      <c r="D70" s="3"/>
      <c r="E70" s="3"/>
      <c r="F70" s="119"/>
      <c r="G70" s="119"/>
      <c r="H70" s="119"/>
      <c r="I70" s="126"/>
      <c r="J70" s="375"/>
      <c r="K70" s="375"/>
      <c r="L70" s="3"/>
      <c r="M70" s="376"/>
      <c r="N70" s="3"/>
      <c r="O70" s="3"/>
      <c r="P70" s="3"/>
      <c r="Q70" s="119"/>
      <c r="R70" s="3"/>
      <c r="S70" s="3"/>
      <c r="T70" s="3"/>
      <c r="U70" s="697" t="s">
        <v>143</v>
      </c>
      <c r="V70" s="697"/>
      <c r="W70" s="697"/>
      <c r="X70" s="697"/>
      <c r="Y70" s="380">
        <v>0</v>
      </c>
      <c r="Z70" s="3"/>
      <c r="AA70" s="3"/>
      <c r="AB70" s="3"/>
      <c r="AC70" s="3"/>
      <c r="AD70" s="4"/>
    </row>
    <row r="71" spans="1:30" x14ac:dyDescent="0.25">
      <c r="A71" s="1"/>
      <c r="B71" s="134"/>
      <c r="C71" s="3"/>
      <c r="D71" s="3"/>
      <c r="E71" s="3"/>
      <c r="F71" s="119"/>
      <c r="G71" s="119"/>
      <c r="H71" s="119"/>
      <c r="I71" s="126"/>
      <c r="J71" s="375"/>
      <c r="K71" s="375"/>
      <c r="L71" s="3"/>
      <c r="M71" s="376"/>
      <c r="N71" s="3"/>
      <c r="O71" s="3"/>
      <c r="P71" s="3"/>
      <c r="Q71" s="119"/>
      <c r="R71" s="3"/>
      <c r="S71" s="3"/>
      <c r="T71" s="3"/>
      <c r="U71" s="697" t="s">
        <v>144</v>
      </c>
      <c r="V71" s="697"/>
      <c r="W71" s="697"/>
      <c r="X71" s="697"/>
      <c r="Y71" s="380">
        <v>0</v>
      </c>
      <c r="Z71" s="3"/>
      <c r="AA71" s="3"/>
      <c r="AB71" s="3"/>
      <c r="AC71" s="3"/>
      <c r="AD71" s="4"/>
    </row>
    <row r="72" spans="1:30" x14ac:dyDescent="0.25">
      <c r="A72" s="1"/>
      <c r="B72" s="134"/>
      <c r="C72" s="3"/>
      <c r="D72" s="3"/>
      <c r="E72" s="3"/>
      <c r="F72" s="119"/>
      <c r="G72" s="119"/>
      <c r="H72" s="119"/>
      <c r="I72" s="126"/>
      <c r="J72" s="375"/>
      <c r="K72" s="375"/>
      <c r="L72" s="3"/>
      <c r="M72" s="376"/>
      <c r="N72" s="3"/>
      <c r="O72" s="3"/>
      <c r="P72" s="3"/>
      <c r="Q72" s="119"/>
      <c r="R72" s="3"/>
      <c r="S72" s="3"/>
      <c r="T72" s="3"/>
      <c r="U72" s="697" t="s">
        <v>145</v>
      </c>
      <c r="V72" s="697"/>
      <c r="W72" s="697"/>
      <c r="X72" s="697"/>
      <c r="Y72" s="380">
        <v>175</v>
      </c>
      <c r="Z72" s="3"/>
      <c r="AA72" s="3"/>
      <c r="AB72" s="3"/>
      <c r="AC72" s="3"/>
      <c r="AD72" s="4"/>
    </row>
    <row r="73" spans="1:30" x14ac:dyDescent="0.25">
      <c r="A73" s="1"/>
      <c r="B73" s="134"/>
      <c r="C73" s="383"/>
      <c r="D73" s="119"/>
      <c r="E73" s="119"/>
      <c r="F73" s="119"/>
      <c r="G73" s="119"/>
      <c r="H73" s="119"/>
      <c r="I73" s="126"/>
      <c r="J73" s="119"/>
      <c r="K73" s="119"/>
      <c r="L73" s="3"/>
      <c r="M73" s="376"/>
      <c r="N73" s="3"/>
      <c r="O73" s="3"/>
      <c r="P73" s="3"/>
      <c r="Q73" s="384"/>
      <c r="R73" s="3"/>
      <c r="S73" s="3"/>
      <c r="T73" s="3"/>
      <c r="U73" s="126"/>
      <c r="V73" s="126"/>
      <c r="W73" s="126"/>
      <c r="X73" s="119"/>
      <c r="Y73" s="119">
        <f>SUM(Y64:Y68)</f>
        <v>38349.599999999999</v>
      </c>
      <c r="Z73" s="3"/>
      <c r="AA73" s="3"/>
      <c r="AB73" s="3"/>
      <c r="AC73" s="3"/>
      <c r="AD73" s="4"/>
    </row>
    <row r="74" spans="1:30" x14ac:dyDescent="0.25">
      <c r="A74" s="1"/>
      <c r="B74" s="134"/>
      <c r="C74" s="117"/>
      <c r="D74" s="119"/>
      <c r="E74" s="119"/>
      <c r="F74" s="119"/>
      <c r="G74" s="119"/>
      <c r="H74" s="119"/>
      <c r="I74" s="126"/>
      <c r="J74" s="119"/>
      <c r="K74" s="119"/>
      <c r="L74" s="119"/>
      <c r="M74" s="119"/>
      <c r="N74" s="119"/>
      <c r="O74" s="126"/>
      <c r="P74" s="119"/>
      <c r="Q74" s="119"/>
      <c r="R74" s="119"/>
      <c r="S74" s="126"/>
      <c r="T74" s="126"/>
      <c r="U74" s="126"/>
      <c r="V74" s="119"/>
      <c r="W74" s="119"/>
      <c r="X74" s="119"/>
      <c r="Y74" s="3"/>
      <c r="Z74" s="3"/>
      <c r="AA74" s="3"/>
      <c r="AB74" s="3"/>
      <c r="AC74" s="3"/>
      <c r="AD74" s="3"/>
    </row>
    <row r="75" spans="1:30" x14ac:dyDescent="0.25">
      <c r="A75" s="1"/>
      <c r="B75" s="144" t="s">
        <v>103</v>
      </c>
      <c r="C75" s="145"/>
      <c r="D75" s="585"/>
      <c r="E75" s="585"/>
      <c r="F75" s="585"/>
      <c r="G75" s="585"/>
      <c r="H75" s="585"/>
      <c r="I75" s="585"/>
      <c r="J75" s="585"/>
      <c r="K75" s="585"/>
      <c r="L75" s="585"/>
      <c r="M75" s="585"/>
      <c r="N75" s="585"/>
      <c r="O75" s="585"/>
      <c r="P75" s="585"/>
      <c r="Q75" s="585"/>
      <c r="R75" s="585"/>
      <c r="S75" s="585"/>
      <c r="T75" s="585"/>
      <c r="U75" s="585"/>
      <c r="V75" s="146"/>
      <c r="W75" s="146"/>
      <c r="X75" s="146"/>
      <c r="Y75" s="146"/>
      <c r="Z75" s="146"/>
      <c r="AA75" s="146"/>
      <c r="AB75" s="147"/>
      <c r="AC75" s="3"/>
      <c r="AD75" s="3"/>
    </row>
    <row r="76" spans="1:30" x14ac:dyDescent="0.25">
      <c r="A76" s="1"/>
      <c r="B76" s="148" t="s">
        <v>146</v>
      </c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49"/>
      <c r="AC76" s="3"/>
      <c r="AD76" s="3"/>
    </row>
    <row r="77" spans="1:30" x14ac:dyDescent="0.25">
      <c r="A77" s="1"/>
      <c r="B77" s="575"/>
      <c r="C77" s="576"/>
      <c r="D77" s="576"/>
      <c r="E77" s="576"/>
      <c r="F77" s="576"/>
      <c r="G77" s="576"/>
      <c r="H77" s="576"/>
      <c r="I77" s="576"/>
      <c r="J77" s="576"/>
      <c r="K77" s="576"/>
      <c r="L77" s="576"/>
      <c r="M77" s="576"/>
      <c r="N77" s="576"/>
      <c r="O77" s="576"/>
      <c r="P77" s="576"/>
      <c r="Q77" s="576"/>
      <c r="R77" s="576"/>
      <c r="S77" s="576"/>
      <c r="T77" s="576"/>
      <c r="U77" s="576"/>
      <c r="V77" s="121"/>
      <c r="W77" s="121"/>
      <c r="X77" s="121"/>
      <c r="Y77" s="121"/>
      <c r="Z77" s="121"/>
      <c r="AA77" s="121"/>
      <c r="AB77" s="149"/>
      <c r="AC77" s="3"/>
      <c r="AD77" s="3"/>
    </row>
    <row r="78" spans="1:30" x14ac:dyDescent="0.25">
      <c r="A78" s="1"/>
      <c r="B78" s="575"/>
      <c r="C78" s="576"/>
      <c r="D78" s="576"/>
      <c r="E78" s="576"/>
      <c r="F78" s="576"/>
      <c r="G78" s="576"/>
      <c r="H78" s="576"/>
      <c r="I78" s="576"/>
      <c r="J78" s="576"/>
      <c r="K78" s="576"/>
      <c r="L78" s="576"/>
      <c r="M78" s="576"/>
      <c r="N78" s="576"/>
      <c r="O78" s="576"/>
      <c r="P78" s="576"/>
      <c r="Q78" s="576"/>
      <c r="R78" s="576"/>
      <c r="S78" s="576"/>
      <c r="T78" s="576"/>
      <c r="U78" s="576"/>
      <c r="V78" s="121"/>
      <c r="W78" s="121"/>
      <c r="X78" s="121"/>
      <c r="Y78" s="121"/>
      <c r="Z78" s="121"/>
      <c r="AA78" s="121"/>
      <c r="AB78" s="149"/>
      <c r="AC78" s="3"/>
      <c r="AD78" s="3"/>
    </row>
    <row r="79" spans="1:30" x14ac:dyDescent="0.25">
      <c r="A79" s="1"/>
      <c r="B79" s="575"/>
      <c r="C79" s="576"/>
      <c r="D79" s="576"/>
      <c r="E79" s="576"/>
      <c r="F79" s="576"/>
      <c r="G79" s="576"/>
      <c r="H79" s="576"/>
      <c r="I79" s="576"/>
      <c r="J79" s="576"/>
      <c r="K79" s="576"/>
      <c r="L79" s="576"/>
      <c r="M79" s="576"/>
      <c r="N79" s="576"/>
      <c r="O79" s="576"/>
      <c r="P79" s="576"/>
      <c r="Q79" s="576"/>
      <c r="R79" s="576"/>
      <c r="S79" s="576"/>
      <c r="T79" s="576"/>
      <c r="U79" s="576"/>
      <c r="V79" s="121"/>
      <c r="W79" s="121"/>
      <c r="X79" s="121"/>
      <c r="Y79" s="121"/>
      <c r="Z79" s="121"/>
      <c r="AA79" s="121"/>
      <c r="AB79" s="149"/>
      <c r="AC79" s="3"/>
      <c r="AD79" s="3"/>
    </row>
    <row r="80" spans="1:30" x14ac:dyDescent="0.25">
      <c r="A80" s="1"/>
      <c r="B80" s="150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21"/>
      <c r="W80" s="121"/>
      <c r="X80" s="121"/>
      <c r="Y80" s="121"/>
      <c r="Z80" s="121"/>
      <c r="AA80" s="121"/>
      <c r="AB80" s="149"/>
      <c r="AC80" s="3"/>
      <c r="AD80" s="3"/>
    </row>
    <row r="81" spans="1:30" x14ac:dyDescent="0.25">
      <c r="A81" s="1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21"/>
      <c r="W81" s="121"/>
      <c r="X81" s="121"/>
      <c r="Y81" s="121"/>
      <c r="Z81" s="121"/>
      <c r="AA81" s="121"/>
      <c r="AB81" s="149"/>
      <c r="AC81" s="3"/>
      <c r="AD81" s="3"/>
    </row>
    <row r="82" spans="1:30" x14ac:dyDescent="0.25">
      <c r="A82" s="1"/>
      <c r="B82" s="150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21"/>
      <c r="W82" s="121"/>
      <c r="X82" s="121"/>
      <c r="Y82" s="121"/>
      <c r="Z82" s="121"/>
      <c r="AA82" s="121"/>
      <c r="AB82" s="149"/>
      <c r="AC82" s="3"/>
      <c r="AD82" s="3"/>
    </row>
    <row r="83" spans="1:30" x14ac:dyDescent="0.25">
      <c r="A83" s="1"/>
      <c r="B83" s="150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21"/>
      <c r="W83" s="121"/>
      <c r="X83" s="121"/>
      <c r="Y83" s="121"/>
      <c r="Z83" s="121"/>
      <c r="AA83" s="121"/>
      <c r="AB83" s="149"/>
      <c r="AC83" s="3"/>
      <c r="AD83" s="3"/>
    </row>
    <row r="84" spans="1:30" x14ac:dyDescent="0.25">
      <c r="A84" s="1"/>
      <c r="B84" s="150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21"/>
      <c r="W84" s="121"/>
      <c r="X84" s="121"/>
      <c r="Y84" s="121"/>
      <c r="Z84" s="121"/>
      <c r="AA84" s="121"/>
      <c r="AB84" s="149"/>
      <c r="AC84" s="3"/>
      <c r="AD84" s="3"/>
    </row>
    <row r="85" spans="1:30" x14ac:dyDescent="0.25">
      <c r="A85" s="1"/>
      <c r="B85" s="150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21"/>
      <c r="W85" s="121"/>
      <c r="X85" s="121"/>
      <c r="Y85" s="121"/>
      <c r="Z85" s="121"/>
      <c r="AA85" s="121"/>
      <c r="AB85" s="149"/>
      <c r="AC85" s="3"/>
      <c r="AD85" s="3"/>
    </row>
    <row r="86" spans="1:30" x14ac:dyDescent="0.25">
      <c r="A86" s="1"/>
      <c r="B86" s="150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21"/>
      <c r="W86" s="121"/>
      <c r="X86" s="121"/>
      <c r="Y86" s="121"/>
      <c r="Z86" s="121"/>
      <c r="AA86" s="121"/>
      <c r="AB86" s="149"/>
      <c r="AC86" s="3"/>
      <c r="AD86" s="3"/>
    </row>
    <row r="87" spans="1:30" x14ac:dyDescent="0.25">
      <c r="A87" s="1"/>
      <c r="B87" s="150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21"/>
      <c r="W87" s="121"/>
      <c r="X87" s="121"/>
      <c r="Y87" s="121"/>
      <c r="Z87" s="121"/>
      <c r="AA87" s="121"/>
      <c r="AB87" s="149"/>
      <c r="AC87" s="3"/>
      <c r="AD87" s="3"/>
    </row>
    <row r="88" spans="1:30" x14ac:dyDescent="0.25">
      <c r="A88" s="1"/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21"/>
      <c r="W88" s="121"/>
      <c r="X88" s="121"/>
      <c r="Y88" s="121"/>
      <c r="Z88" s="121"/>
      <c r="AA88" s="121"/>
      <c r="AB88" s="149"/>
      <c r="AC88" s="3"/>
      <c r="AD88" s="3"/>
    </row>
    <row r="89" spans="1:30" x14ac:dyDescent="0.25">
      <c r="A89" s="1"/>
      <c r="B89" s="150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21"/>
      <c r="W89" s="121"/>
      <c r="X89" s="121"/>
      <c r="Y89" s="121"/>
      <c r="Z89" s="121"/>
      <c r="AA89" s="121"/>
      <c r="AB89" s="149"/>
      <c r="AC89" s="3"/>
      <c r="AD89" s="3"/>
    </row>
    <row r="90" spans="1:30" x14ac:dyDescent="0.25">
      <c r="A90" s="1"/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21"/>
      <c r="W90" s="121"/>
      <c r="X90" s="121"/>
      <c r="Y90" s="121"/>
      <c r="Z90" s="121"/>
      <c r="AA90" s="121"/>
      <c r="AB90" s="149"/>
      <c r="AC90" s="3"/>
      <c r="AD90" s="3"/>
    </row>
    <row r="91" spans="1:30" x14ac:dyDescent="0.25">
      <c r="A91" s="1"/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21"/>
      <c r="W91" s="121"/>
      <c r="X91" s="121"/>
      <c r="Y91" s="121"/>
      <c r="Z91" s="121"/>
      <c r="AA91" s="121"/>
      <c r="AB91" s="149"/>
      <c r="AC91" s="3"/>
      <c r="AD91" s="3"/>
    </row>
    <row r="92" spans="1:30" x14ac:dyDescent="0.25">
      <c r="A92" s="1"/>
      <c r="B92" s="158"/>
      <c r="C92" s="159"/>
      <c r="D92" s="160"/>
      <c r="E92" s="160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2"/>
      <c r="W92" s="162"/>
      <c r="X92" s="162"/>
      <c r="Y92" s="162"/>
      <c r="Z92" s="162"/>
      <c r="AA92" s="162"/>
      <c r="AB92" s="163"/>
      <c r="AC92" s="3"/>
      <c r="AD92" s="3"/>
    </row>
    <row r="93" spans="1:30" x14ac:dyDescent="0.25">
      <c r="A93" s="115"/>
      <c r="B93" s="164"/>
      <c r="C93" s="165"/>
      <c r="D93" s="164"/>
      <c r="E93" s="164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15"/>
      <c r="B94" s="164"/>
      <c r="C94" s="165"/>
      <c r="D94" s="164"/>
      <c r="E94" s="164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167" t="s">
        <v>104</v>
      </c>
      <c r="C96" s="168">
        <v>45870</v>
      </c>
      <c r="D96" s="167" t="s">
        <v>105</v>
      </c>
      <c r="E96" s="576" t="s">
        <v>147</v>
      </c>
      <c r="F96" s="576"/>
      <c r="G96" s="576"/>
      <c r="H96" s="167"/>
      <c r="I96" s="167" t="s">
        <v>107</v>
      </c>
      <c r="J96" s="577" t="s">
        <v>148</v>
      </c>
      <c r="K96" s="577"/>
      <c r="L96" s="577"/>
      <c r="M96" s="577"/>
      <c r="N96" s="167"/>
      <c r="O96" s="167"/>
      <c r="P96" s="167"/>
      <c r="Q96" s="167"/>
      <c r="R96" s="167"/>
      <c r="S96" s="167"/>
      <c r="T96" s="167"/>
      <c r="U96" s="167"/>
      <c r="V96" s="3"/>
      <c r="W96" s="3"/>
      <c r="X96" s="3"/>
      <c r="Y96" s="3"/>
      <c r="Z96" s="3"/>
      <c r="AA96" s="3"/>
      <c r="AB96" s="3"/>
      <c r="AC96" s="3"/>
      <c r="AD96" s="3"/>
    </row>
    <row r="97" spans="1:30" ht="7.5" customHeight="1" x14ac:dyDescent="0.25">
      <c r="A97" s="1"/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1"/>
      <c r="B98" s="167"/>
      <c r="C98" s="167"/>
      <c r="D98" s="167" t="s">
        <v>109</v>
      </c>
      <c r="E98" s="169"/>
      <c r="F98" s="169"/>
      <c r="G98" s="169"/>
      <c r="H98" s="167"/>
      <c r="I98" s="167" t="s">
        <v>109</v>
      </c>
      <c r="J98" s="170"/>
      <c r="K98" s="170"/>
      <c r="L98" s="170"/>
      <c r="M98" s="170"/>
      <c r="N98" s="167"/>
      <c r="O98" s="167"/>
      <c r="P98" s="167"/>
      <c r="Q98" s="167"/>
      <c r="R98" s="167"/>
      <c r="S98" s="167"/>
      <c r="T98" s="167"/>
      <c r="U98" s="167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1"/>
      <c r="B99" s="167"/>
      <c r="C99" s="167"/>
      <c r="D99" s="167"/>
      <c r="E99" s="169"/>
      <c r="F99" s="169"/>
      <c r="G99" s="169"/>
      <c r="H99" s="167"/>
      <c r="I99" s="167"/>
      <c r="J99" s="170"/>
      <c r="K99" s="170"/>
      <c r="L99" s="170"/>
      <c r="M99" s="170"/>
      <c r="N99" s="167"/>
      <c r="O99" s="167"/>
      <c r="P99" s="167"/>
      <c r="Q99" s="167"/>
      <c r="R99" s="167"/>
      <c r="S99" s="167"/>
      <c r="T99" s="167"/>
      <c r="U99" s="167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1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1"/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idden="1" x14ac:dyDescent="0.25">
      <c r="AC102" s="4"/>
      <c r="AD102" s="4"/>
    </row>
    <row r="118" ht="15" hidden="1" customHeight="1" x14ac:dyDescent="0.25"/>
    <row r="132" ht="15" hidden="1" customHeight="1" x14ac:dyDescent="0.25"/>
    <row r="133" ht="15" hidden="1" customHeight="1" x14ac:dyDescent="0.25"/>
  </sheetData>
  <mergeCells count="79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6:AB28"/>
    <mergeCell ref="J27:L27"/>
    <mergeCell ref="M27:M28"/>
    <mergeCell ref="N27:N28"/>
    <mergeCell ref="O27:O28"/>
    <mergeCell ref="AA13:AA14"/>
    <mergeCell ref="D26:I26"/>
    <mergeCell ref="J26:O26"/>
    <mergeCell ref="P26:U26"/>
    <mergeCell ref="V26:AA26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27:B28"/>
    <mergeCell ref="C27:C28"/>
    <mergeCell ref="D27:F27"/>
    <mergeCell ref="G27:G28"/>
    <mergeCell ref="H27:H28"/>
    <mergeCell ref="U65:X65"/>
    <mergeCell ref="Z27:Z28"/>
    <mergeCell ref="AA27:AA28"/>
    <mergeCell ref="C44:C45"/>
    <mergeCell ref="C47:C48"/>
    <mergeCell ref="V57:X57"/>
    <mergeCell ref="V58:X58"/>
    <mergeCell ref="P27:R27"/>
    <mergeCell ref="S27:S28"/>
    <mergeCell ref="T27:T28"/>
    <mergeCell ref="U27:U28"/>
    <mergeCell ref="V27:X27"/>
    <mergeCell ref="Y27:Y28"/>
    <mergeCell ref="I27:I28"/>
    <mergeCell ref="V59:X59"/>
    <mergeCell ref="D61:E61"/>
    <mergeCell ref="V61:X61"/>
    <mergeCell ref="U63:X63"/>
    <mergeCell ref="U64:X64"/>
    <mergeCell ref="E96:G96"/>
    <mergeCell ref="J96:M96"/>
    <mergeCell ref="U66:X66"/>
    <mergeCell ref="U67:X67"/>
    <mergeCell ref="U68:X68"/>
    <mergeCell ref="U69:X69"/>
    <mergeCell ref="U70:X70"/>
    <mergeCell ref="U71:X71"/>
    <mergeCell ref="U72:X72"/>
    <mergeCell ref="D75:U75"/>
    <mergeCell ref="B77:U77"/>
    <mergeCell ref="B78:U78"/>
    <mergeCell ref="B79:U79"/>
  </mergeCells>
  <conditionalFormatting sqref="AB15:AB26 AB29:AB42">
    <cfRule type="cellIs" dxfId="37" priority="1" operator="equal">
      <formula>0</formula>
    </cfRule>
    <cfRule type="containsErrors" dxfId="36" priority="2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0000"/>
  </sheetPr>
  <dimension ref="A1:AD131"/>
  <sheetViews>
    <sheetView showGridLines="0" zoomScale="80" zoomScaleNormal="80" zoomScaleSheetLayoutView="80" workbookViewId="0">
      <selection activeCell="AA49" sqref="AA4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327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4.42578125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17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7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7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1</v>
      </c>
      <c r="C4" s="3"/>
      <c r="D4" s="690" t="s">
        <v>149</v>
      </c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7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3</v>
      </c>
      <c r="C6" s="3"/>
      <c r="D6" s="174">
        <v>46789944</v>
      </c>
      <c r="E6" s="3"/>
      <c r="F6" s="3"/>
      <c r="G6" s="3"/>
      <c r="H6" s="3"/>
      <c r="I6" s="3"/>
      <c r="J6" s="3"/>
      <c r="K6" s="3"/>
      <c r="L6" s="3"/>
      <c r="M6" s="17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175"/>
      <c r="E7" s="3"/>
      <c r="F7" s="3"/>
      <c r="G7" s="3"/>
      <c r="H7" s="3"/>
      <c r="I7" s="3"/>
      <c r="J7" s="3"/>
      <c r="K7" s="3"/>
      <c r="L7" s="3"/>
      <c r="M7" s="17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5</v>
      </c>
      <c r="C8" s="3"/>
      <c r="D8" s="691" t="s">
        <v>150</v>
      </c>
      <c r="E8" s="691"/>
      <c r="F8" s="691"/>
      <c r="G8" s="691"/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691"/>
      <c r="T8" s="691"/>
      <c r="U8" s="691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7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692" t="s">
        <v>7</v>
      </c>
      <c r="C10" s="651" t="s">
        <v>8</v>
      </c>
      <c r="D10" s="678" t="s">
        <v>9</v>
      </c>
      <c r="E10" s="679"/>
      <c r="F10" s="679"/>
      <c r="G10" s="679"/>
      <c r="H10" s="679"/>
      <c r="I10" s="680"/>
      <c r="J10" s="678" t="s">
        <v>10</v>
      </c>
      <c r="K10" s="679"/>
      <c r="L10" s="679"/>
      <c r="M10" s="679"/>
      <c r="N10" s="679"/>
      <c r="O10" s="680"/>
      <c r="P10" s="678" t="s">
        <v>11</v>
      </c>
      <c r="Q10" s="679"/>
      <c r="R10" s="679"/>
      <c r="S10" s="679"/>
      <c r="T10" s="679"/>
      <c r="U10" s="680"/>
      <c r="V10" s="678" t="s">
        <v>12</v>
      </c>
      <c r="W10" s="679"/>
      <c r="X10" s="679"/>
      <c r="Y10" s="679"/>
      <c r="Z10" s="679"/>
      <c r="AA10" s="680"/>
      <c r="AB10" s="681" t="s">
        <v>13</v>
      </c>
      <c r="AC10" s="3"/>
      <c r="AD10" s="3"/>
    </row>
    <row r="11" spans="1:30" ht="30.75" customHeight="1" thickBot="1" x14ac:dyDescent="0.3">
      <c r="A11" s="3"/>
      <c r="B11" s="693"/>
      <c r="C11" s="652"/>
      <c r="D11" s="684" t="s">
        <v>14</v>
      </c>
      <c r="E11" s="685"/>
      <c r="F11" s="685"/>
      <c r="G11" s="686"/>
      <c r="H11" s="176" t="s">
        <v>15</v>
      </c>
      <c r="I11" s="176" t="s">
        <v>16</v>
      </c>
      <c r="J11" s="684" t="s">
        <v>14</v>
      </c>
      <c r="K11" s="685"/>
      <c r="L11" s="685"/>
      <c r="M11" s="686"/>
      <c r="N11" s="176" t="s">
        <v>15</v>
      </c>
      <c r="O11" s="176" t="s">
        <v>16</v>
      </c>
      <c r="P11" s="684" t="s">
        <v>14</v>
      </c>
      <c r="Q11" s="685"/>
      <c r="R11" s="685"/>
      <c r="S11" s="686"/>
      <c r="T11" s="176" t="s">
        <v>15</v>
      </c>
      <c r="U11" s="176" t="s">
        <v>16</v>
      </c>
      <c r="V11" s="684" t="s">
        <v>14</v>
      </c>
      <c r="W11" s="685"/>
      <c r="X11" s="685"/>
      <c r="Y11" s="686"/>
      <c r="Z11" s="176" t="s">
        <v>15</v>
      </c>
      <c r="AA11" s="176" t="s">
        <v>16</v>
      </c>
      <c r="AB11" s="682"/>
      <c r="AC11" s="3"/>
      <c r="AD11" s="3"/>
    </row>
    <row r="12" spans="1:30" ht="15.75" customHeight="1" thickBot="1" x14ac:dyDescent="0.3">
      <c r="A12" s="3"/>
      <c r="B12" s="693"/>
      <c r="C12" s="695"/>
      <c r="D12" s="687" t="s">
        <v>17</v>
      </c>
      <c r="E12" s="688"/>
      <c r="F12" s="688"/>
      <c r="G12" s="688"/>
      <c r="H12" s="688"/>
      <c r="I12" s="689"/>
      <c r="J12" s="687" t="s">
        <v>17</v>
      </c>
      <c r="K12" s="688"/>
      <c r="L12" s="688"/>
      <c r="M12" s="688"/>
      <c r="N12" s="688"/>
      <c r="O12" s="689"/>
      <c r="P12" s="687" t="s">
        <v>17</v>
      </c>
      <c r="Q12" s="688"/>
      <c r="R12" s="688"/>
      <c r="S12" s="688"/>
      <c r="T12" s="688"/>
      <c r="U12" s="689"/>
      <c r="V12" s="687" t="s">
        <v>17</v>
      </c>
      <c r="W12" s="688"/>
      <c r="X12" s="688"/>
      <c r="Y12" s="688"/>
      <c r="Z12" s="688"/>
      <c r="AA12" s="689"/>
      <c r="AB12" s="682"/>
      <c r="AC12" s="3"/>
      <c r="AD12" s="3"/>
    </row>
    <row r="13" spans="1:30" ht="15.75" customHeight="1" thickBot="1" x14ac:dyDescent="0.3">
      <c r="A13" s="3"/>
      <c r="B13" s="694"/>
      <c r="C13" s="696"/>
      <c r="D13" s="676" t="s">
        <v>18</v>
      </c>
      <c r="E13" s="677"/>
      <c r="F13" s="677"/>
      <c r="G13" s="647" t="s">
        <v>19</v>
      </c>
      <c r="H13" s="674" t="s">
        <v>20</v>
      </c>
      <c r="I13" s="653" t="s">
        <v>17</v>
      </c>
      <c r="J13" s="676" t="s">
        <v>18</v>
      </c>
      <c r="K13" s="677"/>
      <c r="L13" s="677"/>
      <c r="M13" s="647" t="s">
        <v>19</v>
      </c>
      <c r="N13" s="674" t="s">
        <v>20</v>
      </c>
      <c r="O13" s="653" t="s">
        <v>17</v>
      </c>
      <c r="P13" s="676" t="s">
        <v>18</v>
      </c>
      <c r="Q13" s="677"/>
      <c r="R13" s="677"/>
      <c r="S13" s="647" t="s">
        <v>19</v>
      </c>
      <c r="T13" s="674" t="s">
        <v>20</v>
      </c>
      <c r="U13" s="653" t="s">
        <v>17</v>
      </c>
      <c r="V13" s="676" t="s">
        <v>18</v>
      </c>
      <c r="W13" s="677"/>
      <c r="X13" s="677"/>
      <c r="Y13" s="647" t="s">
        <v>19</v>
      </c>
      <c r="Z13" s="674" t="s">
        <v>20</v>
      </c>
      <c r="AA13" s="653" t="s">
        <v>17</v>
      </c>
      <c r="AB13" s="682"/>
      <c r="AC13" s="3"/>
      <c r="AD13" s="3"/>
    </row>
    <row r="14" spans="1:30" ht="15.75" thickBot="1" x14ac:dyDescent="0.3">
      <c r="A14" s="3"/>
      <c r="B14" s="177"/>
      <c r="C14" s="178"/>
      <c r="D14" s="179" t="s">
        <v>21</v>
      </c>
      <c r="E14" s="180" t="s">
        <v>22</v>
      </c>
      <c r="F14" s="180" t="s">
        <v>23</v>
      </c>
      <c r="G14" s="648"/>
      <c r="H14" s="675"/>
      <c r="I14" s="654"/>
      <c r="J14" s="179" t="s">
        <v>21</v>
      </c>
      <c r="K14" s="180" t="s">
        <v>22</v>
      </c>
      <c r="L14" s="180" t="s">
        <v>23</v>
      </c>
      <c r="M14" s="648"/>
      <c r="N14" s="675"/>
      <c r="O14" s="654"/>
      <c r="P14" s="179" t="s">
        <v>21</v>
      </c>
      <c r="Q14" s="180" t="s">
        <v>22</v>
      </c>
      <c r="R14" s="180" t="s">
        <v>23</v>
      </c>
      <c r="S14" s="648"/>
      <c r="T14" s="675"/>
      <c r="U14" s="654"/>
      <c r="V14" s="179" t="s">
        <v>21</v>
      </c>
      <c r="W14" s="180" t="s">
        <v>22</v>
      </c>
      <c r="X14" s="180" t="s">
        <v>23</v>
      </c>
      <c r="Y14" s="648"/>
      <c r="Z14" s="675"/>
      <c r="AA14" s="654"/>
      <c r="AB14" s="683"/>
      <c r="AC14" s="3"/>
      <c r="AD14" s="3"/>
    </row>
    <row r="15" spans="1:30" x14ac:dyDescent="0.25">
      <c r="A15" s="3"/>
      <c r="B15" s="181" t="s">
        <v>24</v>
      </c>
      <c r="C15" s="182" t="s">
        <v>25</v>
      </c>
      <c r="D15" s="183"/>
      <c r="E15" s="184"/>
      <c r="F15" s="185">
        <v>82392</v>
      </c>
      <c r="G15" s="186">
        <f>SUM(D15:F15)</f>
        <v>82392</v>
      </c>
      <c r="H15" s="187">
        <v>108</v>
      </c>
      <c r="I15" s="188">
        <f>G15+H15</f>
        <v>82500</v>
      </c>
      <c r="J15" s="385"/>
      <c r="K15" s="386"/>
      <c r="L15" s="387">
        <v>81450</v>
      </c>
      <c r="M15" s="388">
        <f t="shared" ref="M15:M23" si="0">SUM(J15:L15)</f>
        <v>81450</v>
      </c>
      <c r="N15" s="389"/>
      <c r="O15" s="189">
        <f>M15+N15</f>
        <v>81450</v>
      </c>
      <c r="P15" s="183"/>
      <c r="Q15" s="184"/>
      <c r="R15" s="185">
        <v>44794.8</v>
      </c>
      <c r="S15" s="186">
        <f>SUM(P15:R15)</f>
        <v>44794.8</v>
      </c>
      <c r="T15" s="187">
        <v>82.5</v>
      </c>
      <c r="U15" s="188">
        <f>S15+T15</f>
        <v>44877.3</v>
      </c>
      <c r="V15" s="183"/>
      <c r="W15" s="184"/>
      <c r="X15" s="185">
        <v>86336</v>
      </c>
      <c r="Y15" s="186">
        <f>SUM(V15:X15)</f>
        <v>86336</v>
      </c>
      <c r="Z15" s="187"/>
      <c r="AA15" s="188">
        <f>Y15+Z15</f>
        <v>86336</v>
      </c>
      <c r="AB15" s="190">
        <f>(AA15/O15)</f>
        <v>1.059987722529159</v>
      </c>
      <c r="AC15" s="3"/>
      <c r="AD15" s="3"/>
    </row>
    <row r="16" spans="1:30" x14ac:dyDescent="0.25">
      <c r="A16" s="3"/>
      <c r="B16" s="191" t="s">
        <v>26</v>
      </c>
      <c r="C16" s="192" t="s">
        <v>27</v>
      </c>
      <c r="D16" s="193">
        <v>28004</v>
      </c>
      <c r="E16" s="194"/>
      <c r="F16" s="194"/>
      <c r="G16" s="195">
        <f t="shared" ref="G16:G23" si="1">SUM(D16:F16)</f>
        <v>28004</v>
      </c>
      <c r="H16" s="196"/>
      <c r="I16" s="188">
        <f t="shared" ref="I16:I23" si="2">G16+H16</f>
        <v>28004</v>
      </c>
      <c r="J16" s="390">
        <v>28647</v>
      </c>
      <c r="K16" s="391"/>
      <c r="L16" s="391"/>
      <c r="M16" s="392">
        <f t="shared" si="0"/>
        <v>28647</v>
      </c>
      <c r="N16" s="393"/>
      <c r="O16" s="189">
        <f t="shared" ref="O16:O20" si="3">M16+N16</f>
        <v>28647</v>
      </c>
      <c r="P16" s="193">
        <v>20311</v>
      </c>
      <c r="Q16" s="194"/>
      <c r="R16" s="194"/>
      <c r="S16" s="195">
        <f t="shared" ref="S16:S23" si="4">SUM(P16:R16)</f>
        <v>20311</v>
      </c>
      <c r="T16" s="196"/>
      <c r="U16" s="188">
        <f t="shared" ref="U16:U20" si="5">S16+T16</f>
        <v>20311</v>
      </c>
      <c r="V16" s="193">
        <v>30849</v>
      </c>
      <c r="W16" s="194"/>
      <c r="X16" s="194"/>
      <c r="Y16" s="195">
        <f t="shared" ref="Y16:Y23" si="6">SUM(V16:X16)</f>
        <v>30849</v>
      </c>
      <c r="Z16" s="196"/>
      <c r="AA16" s="188">
        <f t="shared" ref="AA16:AA20" si="7">Y16+Z16</f>
        <v>30849</v>
      </c>
      <c r="AB16" s="190">
        <f t="shared" ref="AB16:AB24" si="8">(AA16/O16)</f>
        <v>1.0768666876112682</v>
      </c>
      <c r="AC16" s="3"/>
      <c r="AD16" s="3"/>
    </row>
    <row r="17" spans="1:30" x14ac:dyDescent="0.25">
      <c r="A17" s="3"/>
      <c r="B17" s="191" t="s">
        <v>28</v>
      </c>
      <c r="C17" s="197" t="s">
        <v>29</v>
      </c>
      <c r="D17" s="29"/>
      <c r="E17" s="198"/>
      <c r="F17" s="198"/>
      <c r="G17" s="195">
        <f t="shared" si="1"/>
        <v>0</v>
      </c>
      <c r="H17" s="199"/>
      <c r="I17" s="188">
        <f t="shared" si="2"/>
        <v>0</v>
      </c>
      <c r="J17" s="342"/>
      <c r="K17" s="394"/>
      <c r="L17" s="394"/>
      <c r="M17" s="392">
        <f t="shared" si="0"/>
        <v>0</v>
      </c>
      <c r="N17" s="395"/>
      <c r="O17" s="189">
        <f t="shared" si="3"/>
        <v>0</v>
      </c>
      <c r="P17" s="29"/>
      <c r="Q17" s="198"/>
      <c r="R17" s="198"/>
      <c r="S17" s="195">
        <f t="shared" si="4"/>
        <v>0</v>
      </c>
      <c r="T17" s="199"/>
      <c r="U17" s="188">
        <f t="shared" si="5"/>
        <v>0</v>
      </c>
      <c r="V17" s="29"/>
      <c r="W17" s="198"/>
      <c r="X17" s="198"/>
      <c r="Y17" s="195">
        <f t="shared" si="6"/>
        <v>0</v>
      </c>
      <c r="Z17" s="199"/>
      <c r="AA17" s="188">
        <f t="shared" si="7"/>
        <v>0</v>
      </c>
      <c r="AB17" s="190" t="e">
        <f t="shared" si="8"/>
        <v>#DIV/0!</v>
      </c>
      <c r="AC17" s="3"/>
      <c r="AD17" s="3"/>
    </row>
    <row r="18" spans="1:30" x14ac:dyDescent="0.25">
      <c r="A18" s="3"/>
      <c r="B18" s="191" t="s">
        <v>30</v>
      </c>
      <c r="C18" s="200" t="s">
        <v>31</v>
      </c>
      <c r="D18" s="201"/>
      <c r="E18" s="37">
        <v>57153</v>
      </c>
      <c r="F18" s="198"/>
      <c r="G18" s="195">
        <f t="shared" si="1"/>
        <v>57153</v>
      </c>
      <c r="H18" s="187"/>
      <c r="I18" s="188">
        <f t="shared" si="2"/>
        <v>57153</v>
      </c>
      <c r="J18" s="396"/>
      <c r="K18" s="397">
        <v>58148</v>
      </c>
      <c r="L18" s="394"/>
      <c r="M18" s="392">
        <f t="shared" si="0"/>
        <v>58148</v>
      </c>
      <c r="N18" s="389"/>
      <c r="O18" s="189">
        <f t="shared" si="3"/>
        <v>58148</v>
      </c>
      <c r="P18" s="201"/>
      <c r="Q18" s="37">
        <v>36946.800000000003</v>
      </c>
      <c r="R18" s="198"/>
      <c r="S18" s="195">
        <f t="shared" si="4"/>
        <v>36946.800000000003</v>
      </c>
      <c r="T18" s="187"/>
      <c r="U18" s="188">
        <f t="shared" si="5"/>
        <v>36946.800000000003</v>
      </c>
      <c r="V18" s="201"/>
      <c r="W18" s="37">
        <v>67121</v>
      </c>
      <c r="X18" s="198"/>
      <c r="Y18" s="195">
        <f t="shared" si="6"/>
        <v>67121</v>
      </c>
      <c r="Z18" s="187"/>
      <c r="AA18" s="188">
        <f t="shared" si="7"/>
        <v>67121</v>
      </c>
      <c r="AB18" s="190">
        <f t="shared" si="8"/>
        <v>1.1543131320079796</v>
      </c>
      <c r="AC18" s="3"/>
      <c r="AD18" s="3"/>
    </row>
    <row r="19" spans="1:30" x14ac:dyDescent="0.25">
      <c r="A19" s="3"/>
      <c r="B19" s="191" t="s">
        <v>32</v>
      </c>
      <c r="C19" s="202" t="s">
        <v>33</v>
      </c>
      <c r="D19" s="203"/>
      <c r="E19" s="198"/>
      <c r="F19" s="37"/>
      <c r="G19" s="195">
        <f t="shared" si="1"/>
        <v>0</v>
      </c>
      <c r="H19" s="187"/>
      <c r="I19" s="188">
        <f t="shared" si="2"/>
        <v>0</v>
      </c>
      <c r="J19" s="398"/>
      <c r="K19" s="394"/>
      <c r="L19" s="397"/>
      <c r="M19" s="392">
        <f t="shared" si="0"/>
        <v>0</v>
      </c>
      <c r="N19" s="389"/>
      <c r="O19" s="189">
        <f t="shared" si="3"/>
        <v>0</v>
      </c>
      <c r="P19" s="203"/>
      <c r="Q19" s="198"/>
      <c r="R19" s="37"/>
      <c r="S19" s="195">
        <f t="shared" si="4"/>
        <v>0</v>
      </c>
      <c r="T19" s="187"/>
      <c r="U19" s="188">
        <f t="shared" si="5"/>
        <v>0</v>
      </c>
      <c r="V19" s="203"/>
      <c r="W19" s="198"/>
      <c r="X19" s="37"/>
      <c r="Y19" s="195">
        <f t="shared" si="6"/>
        <v>0</v>
      </c>
      <c r="Z19" s="187"/>
      <c r="AA19" s="188">
        <f t="shared" si="7"/>
        <v>0</v>
      </c>
      <c r="AB19" s="190" t="e">
        <f t="shared" si="8"/>
        <v>#DIV/0!</v>
      </c>
      <c r="AC19" s="3"/>
      <c r="AD19" s="3"/>
    </row>
    <row r="20" spans="1:30" x14ac:dyDescent="0.25">
      <c r="A20" s="3"/>
      <c r="B20" s="191" t="s">
        <v>34</v>
      </c>
      <c r="C20" s="204" t="s">
        <v>35</v>
      </c>
      <c r="D20" s="201"/>
      <c r="E20" s="194"/>
      <c r="F20" s="205"/>
      <c r="G20" s="195"/>
      <c r="H20" s="187"/>
      <c r="I20" s="188">
        <f t="shared" si="2"/>
        <v>0</v>
      </c>
      <c r="J20" s="396"/>
      <c r="K20" s="391"/>
      <c r="L20" s="399"/>
      <c r="M20" s="392">
        <f t="shared" si="0"/>
        <v>0</v>
      </c>
      <c r="N20" s="389"/>
      <c r="O20" s="189">
        <f t="shared" si="3"/>
        <v>0</v>
      </c>
      <c r="P20" s="201"/>
      <c r="Q20" s="194"/>
      <c r="R20" s="205">
        <v>14.4</v>
      </c>
      <c r="S20" s="195">
        <f t="shared" si="4"/>
        <v>14.4</v>
      </c>
      <c r="T20" s="187"/>
      <c r="U20" s="188">
        <f t="shared" si="5"/>
        <v>14.4</v>
      </c>
      <c r="V20" s="201"/>
      <c r="W20" s="194"/>
      <c r="X20" s="205"/>
      <c r="Y20" s="195">
        <f t="shared" si="6"/>
        <v>0</v>
      </c>
      <c r="Z20" s="187"/>
      <c r="AA20" s="188">
        <f t="shared" si="7"/>
        <v>0</v>
      </c>
      <c r="AB20" s="190" t="e">
        <f t="shared" si="8"/>
        <v>#DIV/0!</v>
      </c>
      <c r="AC20" s="3"/>
      <c r="AD20" s="3"/>
    </row>
    <row r="21" spans="1:30" x14ac:dyDescent="0.25">
      <c r="A21" s="3"/>
      <c r="B21" s="191" t="s">
        <v>36</v>
      </c>
      <c r="C21" s="206" t="s">
        <v>37</v>
      </c>
      <c r="D21" s="201"/>
      <c r="E21" s="194"/>
      <c r="F21" s="205">
        <v>2243</v>
      </c>
      <c r="G21" s="195">
        <f t="shared" si="1"/>
        <v>2243</v>
      </c>
      <c r="H21" s="207">
        <v>1</v>
      </c>
      <c r="I21" s="188">
        <f>G21+H21</f>
        <v>2244</v>
      </c>
      <c r="J21" s="396"/>
      <c r="K21" s="391"/>
      <c r="L21" s="399">
        <v>297</v>
      </c>
      <c r="M21" s="392">
        <f t="shared" si="0"/>
        <v>297</v>
      </c>
      <c r="N21" s="400"/>
      <c r="O21" s="189">
        <f>M21+N21</f>
        <v>297</v>
      </c>
      <c r="P21" s="201"/>
      <c r="Q21" s="194"/>
      <c r="R21" s="205">
        <v>1209.5</v>
      </c>
      <c r="S21" s="195">
        <f t="shared" si="4"/>
        <v>1209.5</v>
      </c>
      <c r="T21" s="207">
        <v>5</v>
      </c>
      <c r="U21" s="188">
        <f>S21+T21</f>
        <v>1214.5</v>
      </c>
      <c r="V21" s="201"/>
      <c r="W21" s="194"/>
      <c r="X21" s="205">
        <v>297</v>
      </c>
      <c r="Y21" s="195">
        <f t="shared" si="6"/>
        <v>297</v>
      </c>
      <c r="Z21" s="207"/>
      <c r="AA21" s="188">
        <f>Y21+Z21</f>
        <v>297</v>
      </c>
      <c r="AB21" s="190">
        <f t="shared" si="8"/>
        <v>1</v>
      </c>
      <c r="AC21" s="3"/>
      <c r="AD21" s="3"/>
    </row>
    <row r="22" spans="1:30" x14ac:dyDescent="0.25">
      <c r="A22" s="3"/>
      <c r="B22" s="191" t="s">
        <v>38</v>
      </c>
      <c r="C22" s="206" t="s">
        <v>39</v>
      </c>
      <c r="D22" s="201"/>
      <c r="E22" s="194"/>
      <c r="F22" s="205"/>
      <c r="G22" s="195">
        <f t="shared" si="1"/>
        <v>0</v>
      </c>
      <c r="H22" s="207"/>
      <c r="I22" s="188">
        <f t="shared" si="2"/>
        <v>0</v>
      </c>
      <c r="J22" s="396"/>
      <c r="K22" s="391"/>
      <c r="L22" s="399"/>
      <c r="M22" s="392">
        <f t="shared" si="0"/>
        <v>0</v>
      </c>
      <c r="N22" s="400"/>
      <c r="O22" s="189">
        <f t="shared" ref="O22:O23" si="9">M22+N22</f>
        <v>0</v>
      </c>
      <c r="P22" s="201"/>
      <c r="Q22" s="194"/>
      <c r="R22" s="205"/>
      <c r="S22" s="195">
        <f t="shared" si="4"/>
        <v>0</v>
      </c>
      <c r="T22" s="207">
        <v>5</v>
      </c>
      <c r="U22" s="188">
        <f t="shared" ref="U22:U23" si="10">S22+T22</f>
        <v>5</v>
      </c>
      <c r="V22" s="201"/>
      <c r="W22" s="194"/>
      <c r="X22" s="205"/>
      <c r="Y22" s="195">
        <f t="shared" si="6"/>
        <v>0</v>
      </c>
      <c r="Z22" s="207"/>
      <c r="AA22" s="188">
        <f t="shared" ref="AA22:AA23" si="11">Y22+Z22</f>
        <v>0</v>
      </c>
      <c r="AB22" s="190" t="e">
        <f t="shared" si="8"/>
        <v>#DIV/0!</v>
      </c>
      <c r="AC22" s="3"/>
      <c r="AD22" s="3"/>
    </row>
    <row r="23" spans="1:30" ht="15.75" thickBot="1" x14ac:dyDescent="0.3">
      <c r="A23" s="3"/>
      <c r="B23" s="208" t="s">
        <v>40</v>
      </c>
      <c r="C23" s="209" t="s">
        <v>41</v>
      </c>
      <c r="D23" s="210"/>
      <c r="E23" s="211"/>
      <c r="F23" s="212"/>
      <c r="G23" s="213">
        <f t="shared" si="1"/>
        <v>0</v>
      </c>
      <c r="H23" s="214"/>
      <c r="I23" s="215">
        <f t="shared" si="2"/>
        <v>0</v>
      </c>
      <c r="J23" s="401"/>
      <c r="K23" s="402"/>
      <c r="L23" s="403"/>
      <c r="M23" s="404">
        <f t="shared" si="0"/>
        <v>0</v>
      </c>
      <c r="N23" s="405"/>
      <c r="O23" s="216">
        <f t="shared" si="9"/>
        <v>0</v>
      </c>
      <c r="P23" s="210"/>
      <c r="Q23" s="211"/>
      <c r="R23" s="212"/>
      <c r="S23" s="213">
        <f t="shared" si="4"/>
        <v>0</v>
      </c>
      <c r="T23" s="214"/>
      <c r="U23" s="215">
        <f t="shared" si="10"/>
        <v>0</v>
      </c>
      <c r="V23" s="210"/>
      <c r="W23" s="211"/>
      <c r="X23" s="212"/>
      <c r="Y23" s="213">
        <f t="shared" si="6"/>
        <v>0</v>
      </c>
      <c r="Z23" s="214"/>
      <c r="AA23" s="215">
        <f t="shared" si="11"/>
        <v>0</v>
      </c>
      <c r="AB23" s="217" t="e">
        <f t="shared" si="8"/>
        <v>#DIV/0!</v>
      </c>
      <c r="AC23" s="3"/>
      <c r="AD23" s="3"/>
    </row>
    <row r="24" spans="1:30" ht="15.75" thickBot="1" x14ac:dyDescent="0.3">
      <c r="A24" s="3"/>
      <c r="B24" s="218" t="s">
        <v>42</v>
      </c>
      <c r="C24" s="219" t="s">
        <v>43</v>
      </c>
      <c r="D24" s="220">
        <f>SUM(D15:D21)</f>
        <v>28004</v>
      </c>
      <c r="E24" s="221">
        <f>SUM(E15:E21)</f>
        <v>57153</v>
      </c>
      <c r="F24" s="221">
        <f>SUM(F15:F21)</f>
        <v>84635</v>
      </c>
      <c r="G24" s="222">
        <f>SUM(D24:F24)</f>
        <v>169792</v>
      </c>
      <c r="H24" s="223">
        <f>SUM(H15:H21)</f>
        <v>109</v>
      </c>
      <c r="I24" s="223">
        <f>SUM(I15:I21)</f>
        <v>169901</v>
      </c>
      <c r="J24" s="224">
        <f>SUM(J15:J21)</f>
        <v>28647</v>
      </c>
      <c r="K24" s="225">
        <f>SUM(K15:K21)</f>
        <v>58148</v>
      </c>
      <c r="L24" s="225">
        <f>SUM(L15:L21)</f>
        <v>81747</v>
      </c>
      <c r="M24" s="226">
        <f>SUM(J24:L24)</f>
        <v>168542</v>
      </c>
      <c r="N24" s="227">
        <f>SUM(N15:N21)</f>
        <v>0</v>
      </c>
      <c r="O24" s="227">
        <f>SUM(O15:O21)</f>
        <v>168542</v>
      </c>
      <c r="P24" s="220">
        <f>SUM(P15:P21)</f>
        <v>20311</v>
      </c>
      <c r="Q24" s="221">
        <f>SUM(Q15:Q21)</f>
        <v>36946.800000000003</v>
      </c>
      <c r="R24" s="221">
        <f>SUM(R15:R21)</f>
        <v>46018.700000000004</v>
      </c>
      <c r="S24" s="222">
        <f>SUM(P24:R24)</f>
        <v>103276.5</v>
      </c>
      <c r="T24" s="223">
        <f>SUM(T15:T21)</f>
        <v>87.5</v>
      </c>
      <c r="U24" s="223">
        <f>SUM(U15:U21)</f>
        <v>103364</v>
      </c>
      <c r="V24" s="220">
        <f>SUM(V15:V21)</f>
        <v>30849</v>
      </c>
      <c r="W24" s="221">
        <f>SUM(W15:W21)</f>
        <v>67121</v>
      </c>
      <c r="X24" s="221">
        <f>SUM(X15:X21)</f>
        <v>86633</v>
      </c>
      <c r="Y24" s="222">
        <f>SUM(V24:X24)</f>
        <v>184603</v>
      </c>
      <c r="Z24" s="223">
        <f>SUM(Z15:Z21)</f>
        <v>0</v>
      </c>
      <c r="AA24" s="223">
        <f>SUM(AA15:AA21)</f>
        <v>184603</v>
      </c>
      <c r="AB24" s="228">
        <f t="shared" si="8"/>
        <v>1.095293754672426</v>
      </c>
      <c r="AC24" s="3"/>
      <c r="AD24" s="3"/>
    </row>
    <row r="25" spans="1:30" ht="15.75" customHeight="1" thickBot="1" x14ac:dyDescent="0.3">
      <c r="A25" s="3"/>
      <c r="B25" s="229"/>
      <c r="C25" s="230"/>
      <c r="D25" s="655" t="s">
        <v>44</v>
      </c>
      <c r="E25" s="656"/>
      <c r="F25" s="656"/>
      <c r="G25" s="657"/>
      <c r="H25" s="657"/>
      <c r="I25" s="658"/>
      <c r="J25" s="659" t="s">
        <v>44</v>
      </c>
      <c r="K25" s="660"/>
      <c r="L25" s="660"/>
      <c r="M25" s="661"/>
      <c r="N25" s="661"/>
      <c r="O25" s="662"/>
      <c r="P25" s="655" t="s">
        <v>44</v>
      </c>
      <c r="Q25" s="656"/>
      <c r="R25" s="656"/>
      <c r="S25" s="657"/>
      <c r="T25" s="657"/>
      <c r="U25" s="658"/>
      <c r="V25" s="655" t="s">
        <v>44</v>
      </c>
      <c r="W25" s="656"/>
      <c r="X25" s="656"/>
      <c r="Y25" s="657"/>
      <c r="Z25" s="657"/>
      <c r="AA25" s="658"/>
      <c r="AB25" s="663" t="s">
        <v>13</v>
      </c>
      <c r="AC25" s="3"/>
      <c r="AD25" s="3"/>
    </row>
    <row r="26" spans="1:30" ht="15.75" thickBot="1" x14ac:dyDescent="0.3">
      <c r="A26" s="3"/>
      <c r="B26" s="649" t="s">
        <v>7</v>
      </c>
      <c r="C26" s="651" t="s">
        <v>8</v>
      </c>
      <c r="D26" s="645" t="s">
        <v>45</v>
      </c>
      <c r="E26" s="646"/>
      <c r="F26" s="646"/>
      <c r="G26" s="647" t="s">
        <v>46</v>
      </c>
      <c r="H26" s="637" t="s">
        <v>47</v>
      </c>
      <c r="I26" s="639" t="s">
        <v>44</v>
      </c>
      <c r="J26" s="666" t="s">
        <v>45</v>
      </c>
      <c r="K26" s="667"/>
      <c r="L26" s="667"/>
      <c r="M26" s="668" t="s">
        <v>46</v>
      </c>
      <c r="N26" s="670" t="s">
        <v>47</v>
      </c>
      <c r="O26" s="672" t="s">
        <v>44</v>
      </c>
      <c r="P26" s="645" t="s">
        <v>45</v>
      </c>
      <c r="Q26" s="646"/>
      <c r="R26" s="646"/>
      <c r="S26" s="647" t="s">
        <v>46</v>
      </c>
      <c r="T26" s="637" t="s">
        <v>47</v>
      </c>
      <c r="U26" s="639" t="s">
        <v>44</v>
      </c>
      <c r="V26" s="645" t="s">
        <v>45</v>
      </c>
      <c r="W26" s="646"/>
      <c r="X26" s="646"/>
      <c r="Y26" s="647" t="s">
        <v>46</v>
      </c>
      <c r="Z26" s="637" t="s">
        <v>47</v>
      </c>
      <c r="AA26" s="639" t="s">
        <v>44</v>
      </c>
      <c r="AB26" s="664"/>
      <c r="AC26" s="3"/>
      <c r="AD26" s="3"/>
    </row>
    <row r="27" spans="1:30" ht="15.75" thickBot="1" x14ac:dyDescent="0.3">
      <c r="A27" s="3"/>
      <c r="B27" s="650"/>
      <c r="C27" s="652"/>
      <c r="D27" s="231" t="s">
        <v>48</v>
      </c>
      <c r="E27" s="232" t="s">
        <v>49</v>
      </c>
      <c r="F27" s="233" t="s">
        <v>50</v>
      </c>
      <c r="G27" s="648"/>
      <c r="H27" s="638"/>
      <c r="I27" s="640"/>
      <c r="J27" s="234" t="s">
        <v>48</v>
      </c>
      <c r="K27" s="235" t="s">
        <v>49</v>
      </c>
      <c r="L27" s="236" t="s">
        <v>50</v>
      </c>
      <c r="M27" s="669"/>
      <c r="N27" s="671"/>
      <c r="O27" s="673"/>
      <c r="P27" s="231" t="s">
        <v>48</v>
      </c>
      <c r="Q27" s="232" t="s">
        <v>49</v>
      </c>
      <c r="R27" s="233" t="s">
        <v>50</v>
      </c>
      <c r="S27" s="648"/>
      <c r="T27" s="638"/>
      <c r="U27" s="640"/>
      <c r="V27" s="231" t="s">
        <v>48</v>
      </c>
      <c r="W27" s="232" t="s">
        <v>49</v>
      </c>
      <c r="X27" s="233" t="s">
        <v>50</v>
      </c>
      <c r="Y27" s="648"/>
      <c r="Z27" s="638"/>
      <c r="AA27" s="640"/>
      <c r="AB27" s="665"/>
      <c r="AC27" s="3"/>
      <c r="AD27" s="3"/>
    </row>
    <row r="28" spans="1:30" x14ac:dyDescent="0.25">
      <c r="A28" s="3"/>
      <c r="B28" s="181" t="s">
        <v>51</v>
      </c>
      <c r="C28" s="182" t="s">
        <v>52</v>
      </c>
      <c r="D28" s="237">
        <v>0</v>
      </c>
      <c r="E28" s="237"/>
      <c r="F28" s="237">
        <v>2482</v>
      </c>
      <c r="G28" s="238">
        <f>SUM(D28:F28)</f>
        <v>2482</v>
      </c>
      <c r="H28" s="238">
        <v>3</v>
      </c>
      <c r="I28" s="239">
        <f>G28+H28</f>
        <v>2485</v>
      </c>
      <c r="J28" s="406">
        <v>0</v>
      </c>
      <c r="K28" s="407">
        <v>0</v>
      </c>
      <c r="L28" s="407">
        <v>2690</v>
      </c>
      <c r="M28" s="408">
        <f>SUM(J28:L28)</f>
        <v>2690</v>
      </c>
      <c r="N28" s="408"/>
      <c r="O28" s="241">
        <f>M28+N28</f>
        <v>2690</v>
      </c>
      <c r="P28" s="240">
        <v>0</v>
      </c>
      <c r="Q28" s="237">
        <v>0</v>
      </c>
      <c r="R28" s="237">
        <v>1648.2</v>
      </c>
      <c r="S28" s="238">
        <f>SUM(P28:R28)</f>
        <v>1648.2</v>
      </c>
      <c r="T28" s="238"/>
      <c r="U28" s="239">
        <f>S28+T28</f>
        <v>1648.2</v>
      </c>
      <c r="V28" s="240">
        <v>0</v>
      </c>
      <c r="W28" s="237"/>
      <c r="X28" s="237">
        <v>4487</v>
      </c>
      <c r="Y28" s="238">
        <f>SUM(V28:X28)</f>
        <v>4487</v>
      </c>
      <c r="Z28" s="238"/>
      <c r="AA28" s="239">
        <f>Y28+Z28</f>
        <v>4487</v>
      </c>
      <c r="AB28" s="190">
        <f t="shared" ref="AB28:AB41" si="12">(AA28/O28)</f>
        <v>1.6680297397769517</v>
      </c>
      <c r="AC28" s="3"/>
      <c r="AD28" s="3"/>
    </row>
    <row r="29" spans="1:30" x14ac:dyDescent="0.25">
      <c r="A29" s="3"/>
      <c r="B29" s="191" t="s">
        <v>53</v>
      </c>
      <c r="C29" s="206" t="s">
        <v>54</v>
      </c>
      <c r="D29" s="242">
        <v>0</v>
      </c>
      <c r="E29" s="242"/>
      <c r="F29" s="242">
        <v>17330</v>
      </c>
      <c r="G29" s="243">
        <f t="shared" ref="G29:G38" si="13">SUM(D29:F29)</f>
        <v>17330</v>
      </c>
      <c r="H29" s="243"/>
      <c r="I29" s="188">
        <f t="shared" ref="I29:I38" si="14">G29+H29</f>
        <v>17330</v>
      </c>
      <c r="J29" s="245">
        <v>3200</v>
      </c>
      <c r="K29" s="246">
        <v>0</v>
      </c>
      <c r="L29" s="246">
        <v>15919</v>
      </c>
      <c r="M29" s="247">
        <f t="shared" ref="M29:M38" si="15">SUM(J29:L29)</f>
        <v>19119</v>
      </c>
      <c r="N29" s="247"/>
      <c r="O29" s="189">
        <f t="shared" ref="O29:O38" si="16">M29+N29</f>
        <v>19119</v>
      </c>
      <c r="P29" s="244">
        <v>1196</v>
      </c>
      <c r="Q29" s="242">
        <v>0</v>
      </c>
      <c r="R29" s="242">
        <v>7778.3</v>
      </c>
      <c r="S29" s="243">
        <f t="shared" ref="S29:S38" si="17">SUM(P29:R29)</f>
        <v>8974.2999999999993</v>
      </c>
      <c r="T29" s="243">
        <v>1.6</v>
      </c>
      <c r="U29" s="188">
        <f t="shared" ref="U29:U38" si="18">S29+T29</f>
        <v>8975.9</v>
      </c>
      <c r="V29" s="244">
        <v>2600</v>
      </c>
      <c r="W29" s="242"/>
      <c r="X29" s="242">
        <v>17781</v>
      </c>
      <c r="Y29" s="243">
        <f t="shared" ref="Y29:Y38" si="19">SUM(V29:X29)</f>
        <v>20381</v>
      </c>
      <c r="Z29" s="243"/>
      <c r="AA29" s="188">
        <f t="shared" ref="AA29:AA38" si="20">Y29+Z29</f>
        <v>20381</v>
      </c>
      <c r="AB29" s="190">
        <f t="shared" si="12"/>
        <v>1.0660076363826561</v>
      </c>
      <c r="AC29" s="3"/>
      <c r="AD29" s="3"/>
    </row>
    <row r="30" spans="1:30" x14ac:dyDescent="0.25">
      <c r="A30" s="3"/>
      <c r="B30" s="191" t="s">
        <v>55</v>
      </c>
      <c r="C30" s="206" t="s">
        <v>56</v>
      </c>
      <c r="D30" s="242">
        <v>0</v>
      </c>
      <c r="E30" s="242"/>
      <c r="F30" s="242">
        <v>13021</v>
      </c>
      <c r="G30" s="243">
        <f t="shared" si="13"/>
        <v>13021</v>
      </c>
      <c r="H30" s="243"/>
      <c r="I30" s="188">
        <f t="shared" si="14"/>
        <v>13021</v>
      </c>
      <c r="J30" s="245">
        <v>2997</v>
      </c>
      <c r="K30" s="246">
        <v>0</v>
      </c>
      <c r="L30" s="246">
        <v>7563</v>
      </c>
      <c r="M30" s="247">
        <f t="shared" si="15"/>
        <v>10560</v>
      </c>
      <c r="N30" s="247"/>
      <c r="O30" s="189">
        <f t="shared" si="16"/>
        <v>10560</v>
      </c>
      <c r="P30" s="244">
        <v>967</v>
      </c>
      <c r="Q30" s="242">
        <v>0</v>
      </c>
      <c r="R30" s="242">
        <v>3903</v>
      </c>
      <c r="S30" s="243">
        <f t="shared" si="17"/>
        <v>4870</v>
      </c>
      <c r="T30" s="243"/>
      <c r="U30" s="188">
        <f t="shared" si="18"/>
        <v>4870</v>
      </c>
      <c r="V30" s="244">
        <v>2400</v>
      </c>
      <c r="W30" s="242"/>
      <c r="X30" s="242">
        <v>8690</v>
      </c>
      <c r="Y30" s="243">
        <f t="shared" si="19"/>
        <v>11090</v>
      </c>
      <c r="Z30" s="243"/>
      <c r="AA30" s="188">
        <f t="shared" si="20"/>
        <v>11090</v>
      </c>
      <c r="AB30" s="190">
        <f t="shared" si="12"/>
        <v>1.050189393939394</v>
      </c>
      <c r="AC30" s="3"/>
      <c r="AD30" s="3"/>
    </row>
    <row r="31" spans="1:30" x14ac:dyDescent="0.25">
      <c r="A31" s="3"/>
      <c r="B31" s="191" t="s">
        <v>57</v>
      </c>
      <c r="C31" s="206" t="s">
        <v>58</v>
      </c>
      <c r="D31" s="242">
        <v>0</v>
      </c>
      <c r="E31" s="242"/>
      <c r="F31" s="242">
        <v>10165</v>
      </c>
      <c r="G31" s="243">
        <f t="shared" si="13"/>
        <v>10165</v>
      </c>
      <c r="H31" s="243"/>
      <c r="I31" s="188">
        <f t="shared" si="14"/>
        <v>10165</v>
      </c>
      <c r="J31" s="245">
        <v>1150</v>
      </c>
      <c r="K31" s="246">
        <v>0</v>
      </c>
      <c r="L31" s="246">
        <v>9237</v>
      </c>
      <c r="M31" s="247">
        <f t="shared" si="15"/>
        <v>10387</v>
      </c>
      <c r="N31" s="247"/>
      <c r="O31" s="189">
        <f t="shared" si="16"/>
        <v>10387</v>
      </c>
      <c r="P31" s="244">
        <v>1265</v>
      </c>
      <c r="Q31" s="242">
        <v>0</v>
      </c>
      <c r="R31" s="242">
        <v>4077.5</v>
      </c>
      <c r="S31" s="243">
        <f t="shared" si="17"/>
        <v>5342.5</v>
      </c>
      <c r="T31" s="243"/>
      <c r="U31" s="188">
        <f t="shared" si="18"/>
        <v>5342.5</v>
      </c>
      <c r="V31" s="244">
        <v>1400</v>
      </c>
      <c r="W31" s="242"/>
      <c r="X31" s="242">
        <v>7017</v>
      </c>
      <c r="Y31" s="243">
        <f t="shared" si="19"/>
        <v>8417</v>
      </c>
      <c r="Z31" s="243"/>
      <c r="AA31" s="188">
        <f t="shared" si="20"/>
        <v>8417</v>
      </c>
      <c r="AB31" s="190">
        <f t="shared" si="12"/>
        <v>0.81033984788678159</v>
      </c>
      <c r="AC31" s="3"/>
      <c r="AD31" s="3"/>
    </row>
    <row r="32" spans="1:30" x14ac:dyDescent="0.25">
      <c r="A32" s="3"/>
      <c r="B32" s="191" t="s">
        <v>59</v>
      </c>
      <c r="C32" s="206" t="s">
        <v>60</v>
      </c>
      <c r="D32" s="248">
        <v>28004</v>
      </c>
      <c r="E32" s="242">
        <v>42715</v>
      </c>
      <c r="F32" s="242">
        <v>14203</v>
      </c>
      <c r="G32" s="243">
        <f t="shared" si="13"/>
        <v>84922</v>
      </c>
      <c r="H32" s="243"/>
      <c r="I32" s="188">
        <f t="shared" si="14"/>
        <v>84922</v>
      </c>
      <c r="J32" s="245">
        <v>15100</v>
      </c>
      <c r="K32" s="246">
        <v>43530</v>
      </c>
      <c r="L32" s="246">
        <v>30020</v>
      </c>
      <c r="M32" s="247">
        <f t="shared" si="15"/>
        <v>88650</v>
      </c>
      <c r="N32" s="247"/>
      <c r="O32" s="189">
        <f t="shared" si="16"/>
        <v>88650</v>
      </c>
      <c r="P32" s="249">
        <v>6827</v>
      </c>
      <c r="Q32" s="242">
        <v>23696.2</v>
      </c>
      <c r="R32" s="242">
        <v>13969.4</v>
      </c>
      <c r="S32" s="243">
        <f t="shared" si="17"/>
        <v>44492.6</v>
      </c>
      <c r="T32" s="243"/>
      <c r="U32" s="188">
        <f t="shared" si="18"/>
        <v>44492.6</v>
      </c>
      <c r="V32" s="249">
        <v>17452</v>
      </c>
      <c r="W32" s="242">
        <v>50008</v>
      </c>
      <c r="X32" s="242">
        <v>34597</v>
      </c>
      <c r="Y32" s="243">
        <f t="shared" si="19"/>
        <v>102057</v>
      </c>
      <c r="Z32" s="243"/>
      <c r="AA32" s="188">
        <f t="shared" si="20"/>
        <v>102057</v>
      </c>
      <c r="AB32" s="190">
        <f t="shared" si="12"/>
        <v>1.1512351945854484</v>
      </c>
      <c r="AC32" s="3"/>
      <c r="AD32" s="3"/>
    </row>
    <row r="33" spans="1:30" x14ac:dyDescent="0.25">
      <c r="A33" s="3"/>
      <c r="B33" s="191" t="s">
        <v>61</v>
      </c>
      <c r="C33" s="202" t="s">
        <v>62</v>
      </c>
      <c r="D33" s="248">
        <v>28004</v>
      </c>
      <c r="E33" s="242">
        <v>42715</v>
      </c>
      <c r="F33" s="242">
        <v>14203</v>
      </c>
      <c r="G33" s="243">
        <f t="shared" si="13"/>
        <v>84922</v>
      </c>
      <c r="H33" s="243"/>
      <c r="I33" s="188">
        <f t="shared" si="14"/>
        <v>84922</v>
      </c>
      <c r="J33" s="245">
        <v>15100</v>
      </c>
      <c r="K33" s="246">
        <v>43530</v>
      </c>
      <c r="L33" s="246">
        <v>30020</v>
      </c>
      <c r="M33" s="247">
        <f t="shared" si="15"/>
        <v>88650</v>
      </c>
      <c r="N33" s="247"/>
      <c r="O33" s="189">
        <f t="shared" si="16"/>
        <v>88650</v>
      </c>
      <c r="P33" s="249">
        <v>6827</v>
      </c>
      <c r="Q33" s="242">
        <v>23696.2</v>
      </c>
      <c r="R33" s="242">
        <v>13969.4</v>
      </c>
      <c r="S33" s="243">
        <f t="shared" si="17"/>
        <v>44492.6</v>
      </c>
      <c r="T33" s="243"/>
      <c r="U33" s="188">
        <f t="shared" si="18"/>
        <v>44492.6</v>
      </c>
      <c r="V33" s="249">
        <v>17452</v>
      </c>
      <c r="W33" s="242">
        <v>50008</v>
      </c>
      <c r="X33" s="242">
        <v>34597</v>
      </c>
      <c r="Y33" s="243">
        <f t="shared" si="19"/>
        <v>102057</v>
      </c>
      <c r="Z33" s="243"/>
      <c r="AA33" s="188">
        <f t="shared" si="20"/>
        <v>102057</v>
      </c>
      <c r="AB33" s="190">
        <f>(AA33/O33)</f>
        <v>1.1512351945854484</v>
      </c>
      <c r="AC33" s="3"/>
      <c r="AD33" s="3"/>
    </row>
    <row r="34" spans="1:30" x14ac:dyDescent="0.25">
      <c r="A34" s="3"/>
      <c r="B34" s="191" t="s">
        <v>63</v>
      </c>
      <c r="C34" s="250" t="s">
        <v>64</v>
      </c>
      <c r="D34" s="248">
        <v>0</v>
      </c>
      <c r="E34" s="242"/>
      <c r="F34" s="242"/>
      <c r="G34" s="243">
        <f t="shared" si="13"/>
        <v>0</v>
      </c>
      <c r="H34" s="243"/>
      <c r="I34" s="188">
        <f t="shared" si="14"/>
        <v>0</v>
      </c>
      <c r="J34" s="245">
        <v>0</v>
      </c>
      <c r="K34" s="246">
        <v>0</v>
      </c>
      <c r="L34" s="246">
        <v>0</v>
      </c>
      <c r="M34" s="247">
        <f>SUM(J34:L34)</f>
        <v>0</v>
      </c>
      <c r="N34" s="247"/>
      <c r="O34" s="189">
        <f t="shared" si="16"/>
        <v>0</v>
      </c>
      <c r="P34" s="249">
        <v>0</v>
      </c>
      <c r="Q34" s="242">
        <v>0</v>
      </c>
      <c r="R34" s="242">
        <v>0</v>
      </c>
      <c r="S34" s="243">
        <f t="shared" si="17"/>
        <v>0</v>
      </c>
      <c r="T34" s="243"/>
      <c r="U34" s="188">
        <f t="shared" si="18"/>
        <v>0</v>
      </c>
      <c r="V34" s="249"/>
      <c r="W34" s="242"/>
      <c r="X34" s="242"/>
      <c r="Y34" s="243">
        <f t="shared" si="19"/>
        <v>0</v>
      </c>
      <c r="Z34" s="243"/>
      <c r="AA34" s="188">
        <f t="shared" si="20"/>
        <v>0</v>
      </c>
      <c r="AB34" s="190" t="e">
        <f t="shared" si="12"/>
        <v>#DIV/0!</v>
      </c>
      <c r="AC34" s="3"/>
      <c r="AD34" s="3"/>
    </row>
    <row r="35" spans="1:30" x14ac:dyDescent="0.25">
      <c r="A35" s="3"/>
      <c r="B35" s="191" t="s">
        <v>65</v>
      </c>
      <c r="C35" s="206" t="s">
        <v>66</v>
      </c>
      <c r="D35" s="248">
        <v>0</v>
      </c>
      <c r="E35" s="242">
        <v>14438</v>
      </c>
      <c r="F35" s="242">
        <v>15667</v>
      </c>
      <c r="G35" s="243">
        <f t="shared" si="13"/>
        <v>30105</v>
      </c>
      <c r="H35" s="243"/>
      <c r="I35" s="188">
        <f t="shared" si="14"/>
        <v>30105</v>
      </c>
      <c r="J35" s="245">
        <v>5500</v>
      </c>
      <c r="K35" s="246">
        <v>14618</v>
      </c>
      <c r="L35" s="246">
        <v>10222</v>
      </c>
      <c r="M35" s="247">
        <f t="shared" si="15"/>
        <v>30340</v>
      </c>
      <c r="N35" s="247"/>
      <c r="O35" s="189">
        <f t="shared" si="16"/>
        <v>30340</v>
      </c>
      <c r="P35" s="249">
        <v>2307.5</v>
      </c>
      <c r="Q35" s="242">
        <v>8009.3</v>
      </c>
      <c r="R35" s="242">
        <v>4417</v>
      </c>
      <c r="S35" s="243">
        <f t="shared" si="17"/>
        <v>14733.8</v>
      </c>
      <c r="T35" s="243"/>
      <c r="U35" s="188">
        <f t="shared" si="18"/>
        <v>14733.8</v>
      </c>
      <c r="V35" s="249">
        <v>5973</v>
      </c>
      <c r="W35" s="242">
        <v>17113</v>
      </c>
      <c r="X35" s="242">
        <v>11839</v>
      </c>
      <c r="Y35" s="243">
        <f t="shared" si="19"/>
        <v>34925</v>
      </c>
      <c r="Z35" s="243"/>
      <c r="AA35" s="188">
        <f>Y35+Z35</f>
        <v>34925</v>
      </c>
      <c r="AB35" s="190">
        <f>(AA35/O35)</f>
        <v>1.15112063282795</v>
      </c>
      <c r="AC35" s="3"/>
      <c r="AD35" s="3"/>
    </row>
    <row r="36" spans="1:30" x14ac:dyDescent="0.25">
      <c r="A36" s="3"/>
      <c r="B36" s="191" t="s">
        <v>67</v>
      </c>
      <c r="C36" s="206" t="s">
        <v>68</v>
      </c>
      <c r="D36" s="242">
        <v>0</v>
      </c>
      <c r="E36" s="242"/>
      <c r="F36" s="242">
        <v>585</v>
      </c>
      <c r="G36" s="243">
        <f t="shared" si="13"/>
        <v>585</v>
      </c>
      <c r="H36" s="243"/>
      <c r="I36" s="188">
        <f t="shared" si="14"/>
        <v>585</v>
      </c>
      <c r="J36" s="245">
        <v>0</v>
      </c>
      <c r="K36" s="246">
        <v>0</v>
      </c>
      <c r="L36" s="246">
        <v>0</v>
      </c>
      <c r="M36" s="247">
        <f t="shared" si="15"/>
        <v>0</v>
      </c>
      <c r="N36" s="247"/>
      <c r="O36" s="189">
        <f t="shared" si="16"/>
        <v>0</v>
      </c>
      <c r="P36" s="244">
        <v>0</v>
      </c>
      <c r="Q36" s="242">
        <v>0</v>
      </c>
      <c r="R36" s="242">
        <v>0</v>
      </c>
      <c r="S36" s="243">
        <f t="shared" si="17"/>
        <v>0</v>
      </c>
      <c r="T36" s="243"/>
      <c r="U36" s="188">
        <f t="shared" si="18"/>
        <v>0</v>
      </c>
      <c r="V36" s="244"/>
      <c r="W36" s="242"/>
      <c r="X36" s="242">
        <v>0</v>
      </c>
      <c r="Y36" s="243">
        <f t="shared" si="19"/>
        <v>0</v>
      </c>
      <c r="Z36" s="243"/>
      <c r="AA36" s="188">
        <f t="shared" si="20"/>
        <v>0</v>
      </c>
      <c r="AB36" s="190" t="e">
        <f t="shared" si="12"/>
        <v>#DIV/0!</v>
      </c>
      <c r="AC36" s="3"/>
      <c r="AD36" s="3"/>
    </row>
    <row r="37" spans="1:30" x14ac:dyDescent="0.25">
      <c r="A37" s="3"/>
      <c r="B37" s="191" t="s">
        <v>69</v>
      </c>
      <c r="C37" s="206" t="s">
        <v>70</v>
      </c>
      <c r="D37" s="242">
        <v>0</v>
      </c>
      <c r="E37" s="242"/>
      <c r="F37" s="242">
        <v>2688</v>
      </c>
      <c r="G37" s="243">
        <f t="shared" si="13"/>
        <v>2688</v>
      </c>
      <c r="H37" s="243"/>
      <c r="I37" s="188">
        <f t="shared" si="14"/>
        <v>2688</v>
      </c>
      <c r="J37" s="245">
        <v>300</v>
      </c>
      <c r="K37" s="246">
        <v>0</v>
      </c>
      <c r="L37" s="246">
        <v>1414</v>
      </c>
      <c r="M37" s="247">
        <f t="shared" si="15"/>
        <v>1714</v>
      </c>
      <c r="N37" s="247"/>
      <c r="O37" s="189">
        <f t="shared" si="16"/>
        <v>1714</v>
      </c>
      <c r="P37" s="244">
        <v>235</v>
      </c>
      <c r="Q37" s="242">
        <v>0</v>
      </c>
      <c r="R37" s="242">
        <v>663.1</v>
      </c>
      <c r="S37" s="243">
        <f t="shared" si="17"/>
        <v>898.1</v>
      </c>
      <c r="T37" s="243"/>
      <c r="U37" s="188">
        <f t="shared" si="18"/>
        <v>898.1</v>
      </c>
      <c r="V37" s="244">
        <v>300</v>
      </c>
      <c r="W37" s="242"/>
      <c r="X37" s="242">
        <v>1414</v>
      </c>
      <c r="Y37" s="243">
        <f t="shared" si="19"/>
        <v>1714</v>
      </c>
      <c r="Z37" s="243"/>
      <c r="AA37" s="188">
        <f t="shared" si="20"/>
        <v>1714</v>
      </c>
      <c r="AB37" s="190">
        <f t="shared" si="12"/>
        <v>1</v>
      </c>
      <c r="AC37" s="3"/>
      <c r="AD37" s="3"/>
    </row>
    <row r="38" spans="1:30" ht="15.75" thickBot="1" x14ac:dyDescent="0.3">
      <c r="A38" s="3"/>
      <c r="B38" s="409" t="s">
        <v>71</v>
      </c>
      <c r="C38" s="251" t="s">
        <v>72</v>
      </c>
      <c r="D38" s="85">
        <v>0</v>
      </c>
      <c r="E38" s="85"/>
      <c r="F38" s="85">
        <v>84</v>
      </c>
      <c r="G38" s="243">
        <f t="shared" si="13"/>
        <v>84</v>
      </c>
      <c r="H38" s="252"/>
      <c r="I38" s="215">
        <f t="shared" si="14"/>
        <v>84</v>
      </c>
      <c r="J38" s="410">
        <v>400</v>
      </c>
      <c r="K38" s="411">
        <v>0</v>
      </c>
      <c r="L38" s="411">
        <v>4682</v>
      </c>
      <c r="M38" s="412">
        <f t="shared" si="15"/>
        <v>5082</v>
      </c>
      <c r="N38" s="412"/>
      <c r="O38" s="216">
        <f t="shared" si="16"/>
        <v>5082</v>
      </c>
      <c r="P38" s="253">
        <v>199</v>
      </c>
      <c r="Q38" s="85">
        <v>0</v>
      </c>
      <c r="R38" s="85">
        <v>2600.9</v>
      </c>
      <c r="S38" s="252">
        <f t="shared" si="17"/>
        <v>2799.9</v>
      </c>
      <c r="T38" s="252"/>
      <c r="U38" s="215">
        <f t="shared" si="18"/>
        <v>2799.9</v>
      </c>
      <c r="V38" s="253">
        <v>724</v>
      </c>
      <c r="W38" s="85">
        <v>0</v>
      </c>
      <c r="X38" s="85">
        <v>808</v>
      </c>
      <c r="Y38" s="252">
        <f t="shared" si="19"/>
        <v>1532</v>
      </c>
      <c r="Z38" s="252"/>
      <c r="AA38" s="215">
        <f t="shared" si="20"/>
        <v>1532</v>
      </c>
      <c r="AB38" s="217">
        <f t="shared" si="12"/>
        <v>0.30145611963793784</v>
      </c>
      <c r="AC38" s="3"/>
      <c r="AD38" s="3"/>
    </row>
    <row r="39" spans="1:30" ht="15.75" thickBot="1" x14ac:dyDescent="0.3">
      <c r="A39" s="3"/>
      <c r="B39" s="218" t="s">
        <v>73</v>
      </c>
      <c r="C39" s="255" t="s">
        <v>74</v>
      </c>
      <c r="D39" s="256">
        <f>SUM(D35:D38)+SUM(D28:D32)</f>
        <v>28004</v>
      </c>
      <c r="E39" s="256">
        <f>SUM(E35:E38)+SUM(E28:E32)</f>
        <v>57153</v>
      </c>
      <c r="F39" s="256">
        <f>SUM(F35:F38)+SUM(F28:F32)</f>
        <v>76225</v>
      </c>
      <c r="G39" s="257">
        <f>SUM(D39:F39)</f>
        <v>161382</v>
      </c>
      <c r="H39" s="258">
        <f>SUM(H28:H32)+SUM(H35:H38)</f>
        <v>3</v>
      </c>
      <c r="I39" s="259">
        <f>SUM(I35:I38)+SUM(I28:I32)</f>
        <v>161385</v>
      </c>
      <c r="J39" s="260">
        <f>SUM(J35:J38)+SUM(J28:J32)</f>
        <v>28647</v>
      </c>
      <c r="K39" s="260">
        <f>SUM(K35:K38)+SUM(K28:K32)</f>
        <v>58148</v>
      </c>
      <c r="L39" s="260">
        <f>SUM(L35:L38)+SUM(L28:L32)</f>
        <v>81747</v>
      </c>
      <c r="M39" s="261">
        <f>SUM(J39:L39)</f>
        <v>168542</v>
      </c>
      <c r="N39" s="262">
        <f>SUM(N28:N32)+SUM(N35:N38)</f>
        <v>0</v>
      </c>
      <c r="O39" s="263">
        <f>SUM(O35:O38)+SUM(O28:O32)</f>
        <v>168542</v>
      </c>
      <c r="P39" s="256">
        <f>SUM(P35:P38)+SUM(P28:P32)</f>
        <v>12996.5</v>
      </c>
      <c r="Q39" s="256">
        <f>SUM(Q35:Q38)+SUM(Q28:Q32)</f>
        <v>31705.5</v>
      </c>
      <c r="R39" s="256">
        <f>SUM(R35:R38)+SUM(R28:R32)</f>
        <v>39057.4</v>
      </c>
      <c r="S39" s="257">
        <f>SUM(P39:R39)</f>
        <v>83759.399999999994</v>
      </c>
      <c r="T39" s="258">
        <f>SUM(T28:T32)+SUM(T35:T38)</f>
        <v>1.6</v>
      </c>
      <c r="U39" s="259">
        <f>SUM(U35:U38)+SUM(U28:U32)</f>
        <v>83761</v>
      </c>
      <c r="V39" s="256">
        <f>SUM(V35:V38)+SUM(V28:V32)</f>
        <v>30849</v>
      </c>
      <c r="W39" s="256">
        <f>SUM(W35:W38)+SUM(W28:W32)</f>
        <v>67121</v>
      </c>
      <c r="X39" s="256">
        <f>SUM(X35:X38)+SUM(X28:X32)</f>
        <v>86633</v>
      </c>
      <c r="Y39" s="257">
        <f>SUM(V39:X39)</f>
        <v>184603</v>
      </c>
      <c r="Z39" s="258">
        <f>SUM(Z28:Z32)+SUM(Z35:Z38)</f>
        <v>0</v>
      </c>
      <c r="AA39" s="259">
        <f>SUM(AA35:AA38)+SUM(AA28:AA32)</f>
        <v>184603</v>
      </c>
      <c r="AB39" s="264">
        <f t="shared" si="12"/>
        <v>1.095293754672426</v>
      </c>
      <c r="AC39" s="3"/>
      <c r="AD39" s="3"/>
    </row>
    <row r="40" spans="1:30" ht="19.5" thickBot="1" x14ac:dyDescent="0.35">
      <c r="A40" s="3"/>
      <c r="B40" s="265" t="s">
        <v>75</v>
      </c>
      <c r="C40" s="266" t="s">
        <v>76</v>
      </c>
      <c r="D40" s="267">
        <f t="shared" ref="D40:AA40" si="21">D24-D39</f>
        <v>0</v>
      </c>
      <c r="E40" s="267">
        <f t="shared" si="21"/>
        <v>0</v>
      </c>
      <c r="F40" s="267">
        <f t="shared" si="21"/>
        <v>8410</v>
      </c>
      <c r="G40" s="268">
        <f t="shared" si="21"/>
        <v>8410</v>
      </c>
      <c r="H40" s="268">
        <f t="shared" si="21"/>
        <v>106</v>
      </c>
      <c r="I40" s="269">
        <f t="shared" si="21"/>
        <v>8516</v>
      </c>
      <c r="J40" s="267">
        <f t="shared" si="21"/>
        <v>0</v>
      </c>
      <c r="K40" s="267">
        <f t="shared" si="21"/>
        <v>0</v>
      </c>
      <c r="L40" s="267">
        <f t="shared" si="21"/>
        <v>0</v>
      </c>
      <c r="M40" s="270">
        <f t="shared" si="21"/>
        <v>0</v>
      </c>
      <c r="N40" s="270">
        <f t="shared" si="21"/>
        <v>0</v>
      </c>
      <c r="O40" s="271">
        <f t="shared" si="21"/>
        <v>0</v>
      </c>
      <c r="P40" s="267">
        <f t="shared" si="21"/>
        <v>7314.5</v>
      </c>
      <c r="Q40" s="267">
        <f t="shared" si="21"/>
        <v>5241.3000000000029</v>
      </c>
      <c r="R40" s="267">
        <f t="shared" si="21"/>
        <v>6961.3000000000029</v>
      </c>
      <c r="S40" s="268">
        <f t="shared" si="21"/>
        <v>19517.100000000006</v>
      </c>
      <c r="T40" s="268">
        <f t="shared" si="21"/>
        <v>85.9</v>
      </c>
      <c r="U40" s="269">
        <f t="shared" si="21"/>
        <v>19603</v>
      </c>
      <c r="V40" s="267">
        <f t="shared" si="21"/>
        <v>0</v>
      </c>
      <c r="W40" s="267">
        <f t="shared" si="21"/>
        <v>0</v>
      </c>
      <c r="X40" s="267">
        <f t="shared" si="21"/>
        <v>0</v>
      </c>
      <c r="Y40" s="268">
        <f t="shared" si="21"/>
        <v>0</v>
      </c>
      <c r="Z40" s="268">
        <f t="shared" si="21"/>
        <v>0</v>
      </c>
      <c r="AA40" s="269">
        <f t="shared" si="21"/>
        <v>0</v>
      </c>
      <c r="AB40" s="272" t="e">
        <f t="shared" si="12"/>
        <v>#DIV/0!</v>
      </c>
      <c r="AC40" s="3"/>
      <c r="AD40" s="3"/>
    </row>
    <row r="41" spans="1:30" ht="15.75" thickBot="1" x14ac:dyDescent="0.3">
      <c r="A41" s="3"/>
      <c r="B41" s="273" t="s">
        <v>77</v>
      </c>
      <c r="C41" s="274" t="s">
        <v>78</v>
      </c>
      <c r="D41" s="275"/>
      <c r="E41" s="276"/>
      <c r="F41" s="276"/>
      <c r="G41" s="277"/>
      <c r="H41" s="278"/>
      <c r="I41" s="279">
        <f>I40-D16</f>
        <v>-19488</v>
      </c>
      <c r="J41" s="275"/>
      <c r="K41" s="276"/>
      <c r="L41" s="276"/>
      <c r="M41" s="277"/>
      <c r="N41" s="280"/>
      <c r="O41" s="279">
        <f>O40-J16</f>
        <v>-28647</v>
      </c>
      <c r="P41" s="275"/>
      <c r="Q41" s="276"/>
      <c r="R41" s="276"/>
      <c r="S41" s="277"/>
      <c r="T41" s="280"/>
      <c r="U41" s="279">
        <f>U40-P16</f>
        <v>-708</v>
      </c>
      <c r="V41" s="275"/>
      <c r="W41" s="276"/>
      <c r="X41" s="276"/>
      <c r="Y41" s="277"/>
      <c r="Z41" s="280"/>
      <c r="AA41" s="279">
        <f>AA40-V16</f>
        <v>-30849</v>
      </c>
      <c r="AB41" s="190">
        <f t="shared" si="12"/>
        <v>1.0768666876112682</v>
      </c>
      <c r="AC41" s="3"/>
      <c r="AD41" s="3"/>
    </row>
    <row r="42" spans="1:30" ht="8.25" customHeight="1" thickBot="1" x14ac:dyDescent="0.3">
      <c r="A42" s="3"/>
      <c r="B42" s="281"/>
      <c r="C42" s="282"/>
      <c r="D42" s="283"/>
      <c r="E42" s="284"/>
      <c r="F42" s="284"/>
      <c r="G42" s="3"/>
      <c r="H42" s="284"/>
      <c r="I42" s="284"/>
      <c r="J42" s="283"/>
      <c r="K42" s="284"/>
      <c r="L42" s="284"/>
      <c r="M42" s="3"/>
      <c r="N42" s="284"/>
      <c r="O42" s="284"/>
      <c r="P42" s="284"/>
      <c r="Q42" s="284"/>
      <c r="R42" s="284"/>
      <c r="S42" s="284"/>
      <c r="T42" s="284"/>
      <c r="U42" s="284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thickBot="1" x14ac:dyDescent="0.3">
      <c r="A43" s="3"/>
      <c r="B43" s="281"/>
      <c r="C43" s="641" t="s">
        <v>79</v>
      </c>
      <c r="D43" s="123" t="s">
        <v>80</v>
      </c>
      <c r="E43" s="285" t="s">
        <v>81</v>
      </c>
      <c r="F43" s="286" t="s">
        <v>82</v>
      </c>
      <c r="G43" s="284"/>
      <c r="H43" s="284"/>
      <c r="I43" s="287"/>
      <c r="J43" s="123" t="s">
        <v>80</v>
      </c>
      <c r="K43" s="285" t="s">
        <v>81</v>
      </c>
      <c r="L43" s="286" t="s">
        <v>82</v>
      </c>
      <c r="M43" s="284"/>
      <c r="N43" s="284"/>
      <c r="O43" s="284"/>
      <c r="P43" s="123" t="s">
        <v>80</v>
      </c>
      <c r="Q43" s="285" t="s">
        <v>81</v>
      </c>
      <c r="R43" s="286" t="s">
        <v>82</v>
      </c>
      <c r="S43" s="3"/>
      <c r="T43" s="3"/>
      <c r="U43" s="3"/>
      <c r="V43" s="123" t="s">
        <v>80</v>
      </c>
      <c r="W43" s="285" t="s">
        <v>81</v>
      </c>
      <c r="X43" s="286" t="s">
        <v>82</v>
      </c>
      <c r="Y43" s="3"/>
      <c r="Z43" s="3"/>
      <c r="AA43" s="3"/>
      <c r="AB43" s="3"/>
      <c r="AC43" s="3"/>
      <c r="AD43" s="3"/>
    </row>
    <row r="44" spans="1:30" ht="15.75" thickBot="1" x14ac:dyDescent="0.3">
      <c r="A44" s="3"/>
      <c r="B44" s="281"/>
      <c r="C44" s="642"/>
      <c r="D44" s="288"/>
      <c r="E44" s="289"/>
      <c r="F44" s="290">
        <v>0</v>
      </c>
      <c r="G44" s="284"/>
      <c r="H44" s="284"/>
      <c r="I44" s="287"/>
      <c r="J44" s="288"/>
      <c r="K44" s="289"/>
      <c r="L44" s="290">
        <v>0</v>
      </c>
      <c r="M44" s="291"/>
      <c r="N44" s="291"/>
      <c r="O44" s="291"/>
      <c r="P44" s="288"/>
      <c r="Q44" s="289"/>
      <c r="R44" s="290">
        <v>8500</v>
      </c>
      <c r="S44" s="3"/>
      <c r="T44" s="3"/>
      <c r="U44" s="3"/>
      <c r="V44" s="288"/>
      <c r="W44" s="289"/>
      <c r="X44" s="290">
        <v>0</v>
      </c>
      <c r="Y44" s="3"/>
      <c r="Z44" s="3"/>
      <c r="AA44" s="3"/>
      <c r="AB44" s="3"/>
      <c r="AC44" s="3"/>
      <c r="AD44" s="3"/>
    </row>
    <row r="45" spans="1:30" ht="8.25" customHeight="1" thickBot="1" x14ac:dyDescent="0.3">
      <c r="A45" s="3"/>
      <c r="B45" s="281"/>
      <c r="C45" s="282"/>
      <c r="D45" s="291"/>
      <c r="E45" s="284"/>
      <c r="F45" s="284"/>
      <c r="G45" s="284"/>
      <c r="H45" s="284"/>
      <c r="I45" s="287"/>
      <c r="J45" s="284"/>
      <c r="K45" s="284"/>
      <c r="L45" s="284"/>
      <c r="M45" s="284"/>
      <c r="N45" s="284"/>
      <c r="O45" s="287"/>
      <c r="P45" s="287"/>
      <c r="Q45" s="287"/>
      <c r="R45" s="287"/>
      <c r="S45" s="287"/>
      <c r="T45" s="287"/>
      <c r="U45" s="287"/>
      <c r="V45" s="3"/>
      <c r="W45" s="3"/>
      <c r="X45" s="3"/>
      <c r="Y45" s="3"/>
      <c r="Z45" s="3"/>
      <c r="AA45" s="3"/>
      <c r="AB45" s="3"/>
      <c r="AC45" s="3"/>
      <c r="AD45" s="3"/>
    </row>
    <row r="46" spans="1:30" ht="37.5" customHeight="1" thickBot="1" x14ac:dyDescent="0.3">
      <c r="A46" s="3"/>
      <c r="B46" s="281"/>
      <c r="C46" s="641" t="s">
        <v>83</v>
      </c>
      <c r="D46" s="131" t="s">
        <v>84</v>
      </c>
      <c r="E46" s="292" t="s">
        <v>85</v>
      </c>
      <c r="F46" s="284"/>
      <c r="G46" s="284"/>
      <c r="H46" s="284"/>
      <c r="I46" s="287"/>
      <c r="J46" s="131" t="s">
        <v>84</v>
      </c>
      <c r="K46" s="292" t="s">
        <v>85</v>
      </c>
      <c r="L46" s="293"/>
      <c r="M46" s="293"/>
      <c r="N46" s="3"/>
      <c r="O46" s="3"/>
      <c r="P46" s="131" t="s">
        <v>84</v>
      </c>
      <c r="Q46" s="292" t="s">
        <v>85</v>
      </c>
      <c r="R46" s="3"/>
      <c r="S46" s="3"/>
      <c r="T46" s="3"/>
      <c r="U46" s="3"/>
      <c r="V46" s="131" t="s">
        <v>84</v>
      </c>
      <c r="W46" s="292" t="s">
        <v>85</v>
      </c>
      <c r="X46" s="3"/>
      <c r="Y46" s="3"/>
      <c r="Z46" s="3"/>
      <c r="AA46" s="3"/>
      <c r="AB46" s="3"/>
      <c r="AC46" s="3"/>
      <c r="AD46" s="3"/>
    </row>
    <row r="47" spans="1:30" ht="15.75" thickBot="1" x14ac:dyDescent="0.3">
      <c r="A47" s="3"/>
      <c r="B47" s="294"/>
      <c r="C47" s="643"/>
      <c r="D47" s="288">
        <v>9200</v>
      </c>
      <c r="E47" s="295">
        <v>0</v>
      </c>
      <c r="F47" s="284"/>
      <c r="G47" s="284"/>
      <c r="H47" s="284"/>
      <c r="I47" s="287"/>
      <c r="J47" s="288">
        <v>2000</v>
      </c>
      <c r="K47" s="295">
        <v>0</v>
      </c>
      <c r="L47" s="296"/>
      <c r="M47" s="296"/>
      <c r="N47" s="3"/>
      <c r="O47" s="3"/>
      <c r="P47" s="288">
        <v>12717</v>
      </c>
      <c r="Q47" s="295">
        <v>0</v>
      </c>
      <c r="R47" s="3"/>
      <c r="S47" s="3"/>
      <c r="T47" s="3"/>
      <c r="U47" s="3"/>
      <c r="V47" s="288"/>
      <c r="W47" s="295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3"/>
      <c r="B48" s="294"/>
      <c r="C48" s="282"/>
      <c r="D48" s="284"/>
      <c r="E48" s="284"/>
      <c r="F48" s="284"/>
      <c r="G48" s="284"/>
      <c r="H48" s="284"/>
      <c r="I48" s="287"/>
      <c r="J48" s="284"/>
      <c r="K48" s="284"/>
      <c r="L48" s="284"/>
      <c r="M48" s="284"/>
      <c r="N48" s="284"/>
      <c r="O48" s="287"/>
      <c r="P48" s="287"/>
      <c r="Q48" s="287"/>
      <c r="R48" s="287"/>
      <c r="S48" s="287"/>
      <c r="T48" s="287"/>
      <c r="U48" s="28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294"/>
      <c r="C49" s="297" t="s">
        <v>86</v>
      </c>
      <c r="D49" s="298" t="s">
        <v>87</v>
      </c>
      <c r="E49" s="298" t="s">
        <v>88</v>
      </c>
      <c r="F49" s="298" t="s">
        <v>89</v>
      </c>
      <c r="G49" s="298" t="s">
        <v>90</v>
      </c>
      <c r="H49" s="284"/>
      <c r="I49" s="3"/>
      <c r="J49" s="298" t="s">
        <v>87</v>
      </c>
      <c r="K49" s="298" t="s">
        <v>88</v>
      </c>
      <c r="L49" s="298" t="s">
        <v>89</v>
      </c>
      <c r="M49" s="298" t="s">
        <v>91</v>
      </c>
      <c r="N49" s="3"/>
      <c r="O49" s="3"/>
      <c r="P49" s="298" t="s">
        <v>87</v>
      </c>
      <c r="Q49" s="298" t="s">
        <v>88</v>
      </c>
      <c r="R49" s="298" t="s">
        <v>89</v>
      </c>
      <c r="S49" s="298" t="s">
        <v>91</v>
      </c>
      <c r="T49" s="3"/>
      <c r="U49" s="3"/>
      <c r="V49" s="298" t="s">
        <v>92</v>
      </c>
      <c r="W49" s="298" t="s">
        <v>88</v>
      </c>
      <c r="X49" s="298" t="s">
        <v>89</v>
      </c>
      <c r="Y49" s="298" t="s">
        <v>91</v>
      </c>
      <c r="Z49" s="3"/>
      <c r="AA49" s="3"/>
      <c r="AB49" s="3"/>
      <c r="AC49" s="3"/>
      <c r="AD49" s="3"/>
    </row>
    <row r="50" spans="1:30" x14ac:dyDescent="0.25">
      <c r="A50" s="3"/>
      <c r="B50" s="294"/>
      <c r="C50" s="299" t="s">
        <v>93</v>
      </c>
      <c r="D50" s="300"/>
      <c r="E50" s="300"/>
      <c r="F50" s="300"/>
      <c r="G50" s="301">
        <f>D50+E50-F50</f>
        <v>0</v>
      </c>
      <c r="H50" s="284"/>
      <c r="I50" s="3"/>
      <c r="J50" s="301"/>
      <c r="K50" s="300"/>
      <c r="L50" s="300"/>
      <c r="M50" s="301">
        <f>J50+K50-L50</f>
        <v>0</v>
      </c>
      <c r="N50" s="3"/>
      <c r="O50" s="3"/>
      <c r="P50" s="300"/>
      <c r="Q50" s="300"/>
      <c r="R50" s="300"/>
      <c r="S50" s="301">
        <f>P50+Q50-R50</f>
        <v>0</v>
      </c>
      <c r="T50" s="3"/>
      <c r="U50" s="3"/>
      <c r="V50" s="300"/>
      <c r="W50" s="300"/>
      <c r="X50" s="300"/>
      <c r="Y50" s="301">
        <f>V50+W50-X50</f>
        <v>0</v>
      </c>
      <c r="Z50" s="3"/>
      <c r="AA50" s="3"/>
      <c r="AB50" s="3"/>
      <c r="AC50" s="3"/>
      <c r="AD50" s="3"/>
    </row>
    <row r="51" spans="1:30" x14ac:dyDescent="0.25">
      <c r="A51" s="3"/>
      <c r="B51" s="294"/>
      <c r="C51" s="299" t="s">
        <v>94</v>
      </c>
      <c r="D51" s="300">
        <v>0</v>
      </c>
      <c r="E51" s="300">
        <v>12</v>
      </c>
      <c r="F51" s="300">
        <v>0</v>
      </c>
      <c r="G51" s="301">
        <f t="shared" ref="G51:G54" si="22">D51+E51-F51</f>
        <v>12</v>
      </c>
      <c r="H51" s="284"/>
      <c r="I51" s="3"/>
      <c r="J51" s="301">
        <v>12</v>
      </c>
      <c r="K51" s="300">
        <v>16</v>
      </c>
      <c r="L51" s="300"/>
      <c r="M51" s="301"/>
      <c r="N51" s="3"/>
      <c r="O51" s="3"/>
      <c r="P51" s="300">
        <v>12</v>
      </c>
      <c r="Q51" s="300">
        <v>16</v>
      </c>
      <c r="R51" s="300">
        <v>0</v>
      </c>
      <c r="S51" s="301">
        <f t="shared" ref="S51:S54" si="23">P51+Q51-R51</f>
        <v>28</v>
      </c>
      <c r="T51" s="3"/>
      <c r="U51" s="3"/>
      <c r="V51" s="300">
        <v>28</v>
      </c>
      <c r="W51" s="300"/>
      <c r="X51" s="300"/>
      <c r="Y51" s="301">
        <f t="shared" ref="Y51:Y54" si="24">V51+W51-X51</f>
        <v>28</v>
      </c>
      <c r="Z51" s="3"/>
      <c r="AA51" s="3"/>
      <c r="AB51" s="3"/>
      <c r="AC51" s="3"/>
      <c r="AD51" s="3"/>
    </row>
    <row r="52" spans="1:30" x14ac:dyDescent="0.25">
      <c r="A52" s="3"/>
      <c r="B52" s="294"/>
      <c r="C52" s="299" t="s">
        <v>95</v>
      </c>
      <c r="D52" s="300">
        <v>237.7</v>
      </c>
      <c r="E52" s="300">
        <v>2888.6</v>
      </c>
      <c r="F52" s="300">
        <v>2395.1999999999998</v>
      </c>
      <c r="G52" s="301">
        <f t="shared" si="22"/>
        <v>731.09999999999991</v>
      </c>
      <c r="H52" s="284"/>
      <c r="I52" s="3"/>
      <c r="J52" s="301">
        <v>731</v>
      </c>
      <c r="K52" s="300">
        <v>0</v>
      </c>
      <c r="L52" s="300"/>
      <c r="M52" s="301"/>
      <c r="N52" s="3"/>
      <c r="O52" s="3"/>
      <c r="P52" s="300">
        <v>731</v>
      </c>
      <c r="Q52" s="300">
        <v>8589</v>
      </c>
      <c r="R52" s="300">
        <v>16248</v>
      </c>
      <c r="S52" s="301">
        <f t="shared" si="23"/>
        <v>-6928</v>
      </c>
      <c r="T52" s="3"/>
      <c r="U52" s="3"/>
      <c r="V52" s="300">
        <v>100</v>
      </c>
      <c r="W52" s="300"/>
      <c r="X52" s="300"/>
      <c r="Y52" s="301">
        <f t="shared" si="24"/>
        <v>100</v>
      </c>
      <c r="Z52" s="3"/>
      <c r="AA52" s="3"/>
      <c r="AB52" s="3"/>
      <c r="AC52" s="3"/>
      <c r="AD52" s="3"/>
    </row>
    <row r="53" spans="1:30" x14ac:dyDescent="0.25">
      <c r="A53" s="3"/>
      <c r="B53" s="294"/>
      <c r="C53" s="299" t="s">
        <v>96</v>
      </c>
      <c r="D53" s="300">
        <v>109.6</v>
      </c>
      <c r="E53" s="300">
        <v>2.4</v>
      </c>
      <c r="F53" s="300">
        <v>0</v>
      </c>
      <c r="G53" s="301">
        <f t="shared" si="22"/>
        <v>112</v>
      </c>
      <c r="H53" s="284"/>
      <c r="I53" s="3"/>
      <c r="J53" s="301">
        <v>112</v>
      </c>
      <c r="K53" s="300">
        <v>0</v>
      </c>
      <c r="L53" s="300"/>
      <c r="M53" s="301"/>
      <c r="N53" s="3"/>
      <c r="O53" s="3"/>
      <c r="P53" s="300">
        <v>112</v>
      </c>
      <c r="Q53" s="300">
        <v>0</v>
      </c>
      <c r="R53" s="300">
        <v>0</v>
      </c>
      <c r="S53" s="301">
        <f t="shared" si="23"/>
        <v>112</v>
      </c>
      <c r="T53" s="3"/>
      <c r="U53" s="3"/>
      <c r="V53" s="300">
        <v>112</v>
      </c>
      <c r="W53" s="300"/>
      <c r="X53" s="300"/>
      <c r="Y53" s="301">
        <f t="shared" si="24"/>
        <v>112</v>
      </c>
      <c r="Z53" s="3"/>
      <c r="AA53" s="3"/>
      <c r="AB53" s="3"/>
      <c r="AC53" s="3"/>
      <c r="AD53" s="3"/>
    </row>
    <row r="54" spans="1:30" x14ac:dyDescent="0.25">
      <c r="A54" s="3"/>
      <c r="B54" s="294"/>
      <c r="C54" s="302" t="s">
        <v>97</v>
      </c>
      <c r="D54" s="300">
        <v>105</v>
      </c>
      <c r="E54" s="300">
        <v>832.9</v>
      </c>
      <c r="F54" s="300">
        <v>646.79999999999995</v>
      </c>
      <c r="G54" s="301">
        <f t="shared" si="22"/>
        <v>291.10000000000002</v>
      </c>
      <c r="H54" s="284"/>
      <c r="I54" s="3"/>
      <c r="J54" s="301">
        <v>291</v>
      </c>
      <c r="K54" s="300">
        <v>0</v>
      </c>
      <c r="L54" s="300"/>
      <c r="M54" s="301"/>
      <c r="N54" s="3"/>
      <c r="O54" s="3"/>
      <c r="P54" s="300">
        <v>291</v>
      </c>
      <c r="Q54" s="300">
        <v>435</v>
      </c>
      <c r="R54" s="300">
        <v>288</v>
      </c>
      <c r="S54" s="301">
        <f t="shared" si="23"/>
        <v>438</v>
      </c>
      <c r="T54" s="3"/>
      <c r="U54" s="3"/>
      <c r="V54" s="300">
        <v>1020</v>
      </c>
      <c r="W54" s="300"/>
      <c r="X54" s="300"/>
      <c r="Y54" s="301">
        <f t="shared" si="24"/>
        <v>1020</v>
      </c>
      <c r="Z54" s="3"/>
      <c r="AA54" s="3"/>
      <c r="AB54" s="3"/>
      <c r="AC54" s="3"/>
      <c r="AD54" s="3"/>
    </row>
    <row r="55" spans="1:30" ht="10.5" customHeight="1" x14ac:dyDescent="0.25">
      <c r="A55" s="3"/>
      <c r="B55" s="294"/>
      <c r="C55" s="282"/>
      <c r="D55" s="284"/>
      <c r="E55" s="284"/>
      <c r="F55" s="284"/>
      <c r="G55" s="284"/>
      <c r="H55" s="28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3"/>
      <c r="B56" s="294"/>
      <c r="C56" s="297" t="s">
        <v>98</v>
      </c>
      <c r="D56" s="298" t="s">
        <v>99</v>
      </c>
      <c r="E56" s="298" t="s">
        <v>100</v>
      </c>
      <c r="F56" s="284"/>
      <c r="G56" s="284"/>
      <c r="H56" s="284"/>
      <c r="I56" s="287"/>
      <c r="J56" s="298" t="s">
        <v>101</v>
      </c>
      <c r="K56" s="284"/>
      <c r="L56" s="284"/>
      <c r="M56" s="284"/>
      <c r="N56" s="284"/>
      <c r="O56" s="287"/>
      <c r="P56" s="298" t="s">
        <v>102</v>
      </c>
      <c r="Q56" s="287"/>
      <c r="R56" s="287"/>
      <c r="S56" s="287"/>
      <c r="T56" s="287"/>
      <c r="U56" s="287"/>
      <c r="V56" s="298" t="s">
        <v>101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3"/>
      <c r="B57" s="294"/>
      <c r="C57" s="299"/>
      <c r="D57" s="303">
        <v>210.98</v>
      </c>
      <c r="E57" s="303">
        <v>209.16</v>
      </c>
      <c r="F57" s="284"/>
      <c r="G57" s="284"/>
      <c r="H57" s="284"/>
      <c r="I57" s="287"/>
      <c r="J57" s="303">
        <v>208.9</v>
      </c>
      <c r="K57" s="284"/>
      <c r="L57" s="284"/>
      <c r="M57" s="284"/>
      <c r="N57" s="284"/>
      <c r="O57" s="287"/>
      <c r="P57" s="303">
        <v>209.6</v>
      </c>
      <c r="Q57" s="287"/>
      <c r="R57" s="287"/>
      <c r="S57" s="287"/>
      <c r="T57" s="287"/>
      <c r="U57" s="287"/>
      <c r="V57" s="303">
        <v>235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3"/>
      <c r="B58" s="294"/>
      <c r="C58" s="282"/>
      <c r="D58" s="284"/>
      <c r="E58" s="284"/>
      <c r="F58" s="284"/>
      <c r="G58" s="284"/>
      <c r="H58" s="284"/>
      <c r="I58" s="287"/>
      <c r="J58" s="284"/>
      <c r="K58" s="284"/>
      <c r="L58" s="284"/>
      <c r="M58" s="284"/>
      <c r="N58" s="284"/>
      <c r="O58" s="287"/>
      <c r="P58" s="287"/>
      <c r="Q58" s="287"/>
      <c r="R58" s="287"/>
      <c r="S58" s="287"/>
      <c r="T58" s="287"/>
      <c r="U58" s="287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3"/>
      <c r="B59" s="304" t="s">
        <v>103</v>
      </c>
      <c r="C59" s="305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306"/>
      <c r="W59" s="306"/>
      <c r="X59" s="306"/>
      <c r="Y59" s="306"/>
      <c r="Z59" s="306"/>
      <c r="AA59" s="306"/>
      <c r="AB59" s="307"/>
      <c r="AC59" s="3"/>
      <c r="AD59" s="3"/>
    </row>
    <row r="60" spans="1:30" x14ac:dyDescent="0.25">
      <c r="A60" s="3"/>
      <c r="B60" s="308" t="s">
        <v>151</v>
      </c>
      <c r="M60"/>
      <c r="AB60" s="309"/>
      <c r="AC60" s="3"/>
      <c r="AD60" s="3"/>
    </row>
    <row r="61" spans="1:30" x14ac:dyDescent="0.25">
      <c r="A61" s="3"/>
      <c r="B61" s="718" t="s">
        <v>152</v>
      </c>
      <c r="C61" s="691"/>
      <c r="D61" s="691"/>
      <c r="E61" s="691"/>
      <c r="F61" s="691"/>
      <c r="G61" s="691"/>
      <c r="H61" s="691"/>
      <c r="I61" s="691"/>
      <c r="J61" s="691"/>
      <c r="K61" s="691"/>
      <c r="L61" s="691"/>
      <c r="M61" s="691"/>
      <c r="N61" s="691"/>
      <c r="O61" s="691"/>
      <c r="P61" s="691"/>
      <c r="Q61" s="691"/>
      <c r="R61" s="691"/>
      <c r="S61" s="691"/>
      <c r="T61" s="691"/>
      <c r="U61" s="691"/>
      <c r="AB61" s="309"/>
      <c r="AC61" s="3"/>
      <c r="AD61" s="3"/>
    </row>
    <row r="62" spans="1:30" x14ac:dyDescent="0.25">
      <c r="A62" s="3"/>
      <c r="B62" s="718" t="s">
        <v>153</v>
      </c>
      <c r="C62" s="691"/>
      <c r="D62" s="691"/>
      <c r="E62" s="691"/>
      <c r="F62" s="691"/>
      <c r="G62" s="691"/>
      <c r="H62" s="691"/>
      <c r="I62" s="691"/>
      <c r="J62" s="691"/>
      <c r="K62" s="691"/>
      <c r="L62" s="691"/>
      <c r="M62" s="691"/>
      <c r="N62" s="691"/>
      <c r="O62" s="691"/>
      <c r="P62" s="691"/>
      <c r="Q62" s="691"/>
      <c r="R62" s="691"/>
      <c r="S62" s="691"/>
      <c r="T62" s="691"/>
      <c r="U62" s="691"/>
      <c r="AB62" s="309"/>
      <c r="AC62" s="3"/>
      <c r="AD62" s="3"/>
    </row>
    <row r="63" spans="1:30" x14ac:dyDescent="0.25">
      <c r="A63" s="3"/>
      <c r="B63" s="718" t="s">
        <v>154</v>
      </c>
      <c r="C63" s="691"/>
      <c r="D63" s="691"/>
      <c r="E63" s="691"/>
      <c r="F63" s="691"/>
      <c r="G63" s="691"/>
      <c r="H63" s="691"/>
      <c r="I63" s="691"/>
      <c r="J63" s="691"/>
      <c r="K63" s="691"/>
      <c r="L63" s="691"/>
      <c r="M63" s="691"/>
      <c r="N63" s="691"/>
      <c r="O63" s="691"/>
      <c r="P63" s="691"/>
      <c r="Q63" s="691"/>
      <c r="R63" s="691"/>
      <c r="S63" s="691"/>
      <c r="T63" s="691"/>
      <c r="U63" s="691"/>
      <c r="AB63" s="309"/>
      <c r="AC63" s="3"/>
      <c r="AD63" s="3"/>
    </row>
    <row r="64" spans="1:30" x14ac:dyDescent="0.25">
      <c r="A64" s="3"/>
      <c r="B64" s="413" t="s">
        <v>155</v>
      </c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AB64" s="309"/>
      <c r="AC64" s="3"/>
      <c r="AD64" s="3"/>
    </row>
    <row r="65" spans="1:30" x14ac:dyDescent="0.25">
      <c r="A65" s="3"/>
      <c r="B65" s="414" t="s">
        <v>156</v>
      </c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AB65" s="309"/>
      <c r="AC65" s="3"/>
      <c r="AD65" s="3"/>
    </row>
    <row r="66" spans="1:30" x14ac:dyDescent="0.25">
      <c r="A66" s="3"/>
      <c r="B66" s="413" t="s">
        <v>157</v>
      </c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AB66" s="309"/>
      <c r="AC66" s="3"/>
      <c r="AD66" s="3"/>
    </row>
    <row r="67" spans="1:30" x14ac:dyDescent="0.25">
      <c r="A67" s="3"/>
      <c r="B67" s="413" t="s">
        <v>158</v>
      </c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AB67" s="309"/>
      <c r="AC67" s="3"/>
      <c r="AD67" s="3"/>
    </row>
    <row r="68" spans="1:30" x14ac:dyDescent="0.25">
      <c r="A68" s="3"/>
      <c r="B68" s="413" t="s">
        <v>159</v>
      </c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AB68" s="309"/>
      <c r="AC68" s="3"/>
      <c r="AD68" s="3"/>
    </row>
    <row r="69" spans="1:30" x14ac:dyDescent="0.25">
      <c r="A69" s="3"/>
      <c r="B69" s="414" t="s">
        <v>160</v>
      </c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AB69" s="309"/>
      <c r="AC69" s="3"/>
      <c r="AD69" s="3"/>
    </row>
    <row r="70" spans="1:30" x14ac:dyDescent="0.25">
      <c r="A70" s="3"/>
      <c r="B70" s="413" t="s">
        <v>161</v>
      </c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AB70" s="309"/>
      <c r="AC70" s="3"/>
      <c r="AD70" s="3"/>
    </row>
    <row r="71" spans="1:30" x14ac:dyDescent="0.25">
      <c r="A71" s="3"/>
      <c r="B71" s="310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AB71" s="309"/>
      <c r="AC71" s="3"/>
      <c r="AD71" s="3"/>
    </row>
    <row r="72" spans="1:30" x14ac:dyDescent="0.25">
      <c r="A72" s="3"/>
      <c r="B72" s="310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AB72" s="309"/>
      <c r="AC72" s="3"/>
      <c r="AD72" s="3"/>
    </row>
    <row r="73" spans="1:30" x14ac:dyDescent="0.25">
      <c r="A73" s="3"/>
      <c r="B73" s="310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AB73" s="309"/>
      <c r="AC73" s="3"/>
      <c r="AD73" s="3"/>
    </row>
    <row r="74" spans="1:30" x14ac:dyDescent="0.25">
      <c r="A74" s="3"/>
      <c r="B74" s="310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AB74" s="309"/>
      <c r="AC74" s="3"/>
      <c r="AD74" s="3"/>
    </row>
    <row r="75" spans="1:30" x14ac:dyDescent="0.25">
      <c r="A75" s="3"/>
      <c r="B75" s="310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AB75" s="309"/>
      <c r="AC75" s="3"/>
      <c r="AD75" s="3"/>
    </row>
    <row r="76" spans="1:30" x14ac:dyDescent="0.25">
      <c r="A76" s="3"/>
      <c r="B76" s="310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AB76" s="309"/>
      <c r="AC76" s="3"/>
      <c r="AD76" s="3"/>
    </row>
    <row r="77" spans="1:30" x14ac:dyDescent="0.25">
      <c r="A77" s="3"/>
      <c r="B77" s="310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AB77" s="309"/>
      <c r="AC77" s="3"/>
      <c r="AD77" s="3"/>
    </row>
    <row r="78" spans="1:30" x14ac:dyDescent="0.25">
      <c r="A78" s="3"/>
      <c r="B78" s="310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AB78" s="309"/>
      <c r="AC78" s="3"/>
      <c r="AD78" s="3"/>
    </row>
    <row r="79" spans="1:30" x14ac:dyDescent="0.25">
      <c r="A79" s="3"/>
      <c r="B79" s="310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AB79" s="309"/>
      <c r="AC79" s="3"/>
      <c r="AD79" s="3"/>
    </row>
    <row r="80" spans="1:30" x14ac:dyDescent="0.25">
      <c r="A80" s="3"/>
      <c r="B80" s="310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AB80" s="309"/>
      <c r="AC80" s="3"/>
      <c r="AD80" s="3"/>
    </row>
    <row r="81" spans="1:30" x14ac:dyDescent="0.25">
      <c r="A81" s="3"/>
      <c r="B81" s="310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AB81" s="309"/>
      <c r="AC81" s="3"/>
      <c r="AD81" s="3"/>
    </row>
    <row r="82" spans="1:30" x14ac:dyDescent="0.25">
      <c r="A82" s="3"/>
      <c r="B82" s="634"/>
      <c r="C82" s="635"/>
      <c r="D82" s="635"/>
      <c r="E82" s="635"/>
      <c r="F82" s="635"/>
      <c r="G82" s="635"/>
      <c r="H82" s="635"/>
      <c r="I82" s="635"/>
      <c r="J82" s="635"/>
      <c r="K82" s="635"/>
      <c r="L82" s="635"/>
      <c r="M82" s="635"/>
      <c r="N82" s="635"/>
      <c r="O82" s="635"/>
      <c r="P82" s="635"/>
      <c r="Q82" s="635"/>
      <c r="R82" s="635"/>
      <c r="S82" s="635"/>
      <c r="T82" s="635"/>
      <c r="U82" s="635"/>
      <c r="AB82" s="309"/>
      <c r="AC82" s="3"/>
      <c r="AD82" s="3"/>
    </row>
    <row r="83" spans="1:30" x14ac:dyDescent="0.25">
      <c r="A83" s="3"/>
      <c r="B83" s="311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AB83" s="309"/>
      <c r="AC83" s="3"/>
      <c r="AD83" s="3"/>
    </row>
    <row r="84" spans="1:30" x14ac:dyDescent="0.25">
      <c r="A84" s="3"/>
      <c r="B84" s="311"/>
      <c r="C84" s="312"/>
      <c r="D84" s="312"/>
      <c r="E84" s="312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AB84" s="309"/>
      <c r="AC84" s="3"/>
      <c r="AD84" s="3"/>
    </row>
    <row r="85" spans="1:30" x14ac:dyDescent="0.25">
      <c r="A85" s="3"/>
      <c r="B85" s="311"/>
      <c r="C85" s="313"/>
      <c r="D85" s="312"/>
      <c r="E85" s="312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AB85" s="309"/>
      <c r="AC85" s="3"/>
      <c r="AD85" s="3"/>
    </row>
    <row r="86" spans="1:30" x14ac:dyDescent="0.25">
      <c r="A86" s="3"/>
      <c r="B86" s="311"/>
      <c r="C86" s="313"/>
      <c r="D86" s="312"/>
      <c r="E86" s="312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AB86" s="309"/>
      <c r="AC86" s="3"/>
      <c r="AD86" s="3"/>
    </row>
    <row r="87" spans="1:30" x14ac:dyDescent="0.25">
      <c r="A87" s="3"/>
      <c r="B87" s="314"/>
      <c r="C87" s="315"/>
      <c r="D87" s="316"/>
      <c r="E87" s="316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8"/>
      <c r="W87" s="318"/>
      <c r="X87" s="318"/>
      <c r="Y87" s="318"/>
      <c r="Z87" s="318"/>
      <c r="AA87" s="318"/>
      <c r="AB87" s="319"/>
      <c r="AC87" s="3"/>
      <c r="AD87" s="3"/>
    </row>
    <row r="88" spans="1:30" x14ac:dyDescent="0.25">
      <c r="A88" s="3"/>
      <c r="B88" s="320"/>
      <c r="C88" s="321"/>
      <c r="D88" s="320"/>
      <c r="E88" s="320"/>
      <c r="F88" s="322"/>
      <c r="G88" s="322"/>
      <c r="H88" s="322"/>
      <c r="I88" s="322"/>
      <c r="J88" s="322"/>
      <c r="K88" s="322"/>
      <c r="L88" s="322"/>
      <c r="M88" s="322"/>
      <c r="N88" s="322"/>
      <c r="O88" s="322"/>
      <c r="P88" s="322"/>
      <c r="Q88" s="322"/>
      <c r="R88" s="322"/>
      <c r="S88" s="322"/>
      <c r="T88" s="322"/>
      <c r="U88" s="322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3"/>
      <c r="B89" s="320"/>
      <c r="C89" s="321"/>
      <c r="D89" s="320"/>
      <c r="E89" s="320"/>
      <c r="F89" s="322"/>
      <c r="G89" s="322"/>
      <c r="H89" s="322"/>
      <c r="I89" s="322"/>
      <c r="J89" s="322"/>
      <c r="K89" s="322"/>
      <c r="L89" s="322"/>
      <c r="M89" s="322"/>
      <c r="N89" s="322"/>
      <c r="O89" s="322"/>
      <c r="P89" s="322"/>
      <c r="Q89" s="322"/>
      <c r="R89" s="322"/>
      <c r="S89" s="322"/>
      <c r="T89" s="322"/>
      <c r="U89" s="322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3"/>
      <c r="B90" s="323"/>
      <c r="C90" s="323"/>
      <c r="D90" s="323"/>
      <c r="E90" s="323"/>
      <c r="F90" s="323"/>
      <c r="G90" s="323"/>
      <c r="H90" s="323"/>
      <c r="I90" s="323"/>
      <c r="J90" s="323"/>
      <c r="K90" s="323"/>
      <c r="L90" s="323"/>
      <c r="M90" s="323"/>
      <c r="N90" s="323"/>
      <c r="O90" s="323"/>
      <c r="P90" s="323"/>
      <c r="Q90" s="323"/>
      <c r="R90" s="323"/>
      <c r="S90" s="323"/>
      <c r="T90" s="323"/>
      <c r="U90" s="323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3"/>
      <c r="B91" s="323" t="s">
        <v>104</v>
      </c>
      <c r="C91" s="324">
        <v>45932</v>
      </c>
      <c r="D91" s="323" t="s">
        <v>105</v>
      </c>
      <c r="E91" s="635" t="s">
        <v>162</v>
      </c>
      <c r="F91" s="635"/>
      <c r="G91" s="635"/>
      <c r="H91" s="323"/>
      <c r="I91" s="323" t="s">
        <v>107</v>
      </c>
      <c r="J91" s="636" t="s">
        <v>163</v>
      </c>
      <c r="K91" s="636"/>
      <c r="L91" s="636"/>
      <c r="M91" s="636"/>
      <c r="N91" s="323"/>
      <c r="O91" s="323"/>
      <c r="P91" s="323"/>
      <c r="Q91" s="323"/>
      <c r="R91" s="323"/>
      <c r="S91" s="323"/>
      <c r="T91" s="323"/>
      <c r="U91" s="323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3"/>
      <c r="B92" s="323"/>
      <c r="C92" s="323"/>
      <c r="D92" s="323"/>
      <c r="E92" s="323"/>
      <c r="F92" s="323"/>
      <c r="G92" s="323"/>
      <c r="H92" s="323"/>
      <c r="I92" s="323"/>
      <c r="J92" s="323"/>
      <c r="K92" s="323"/>
      <c r="L92" s="323"/>
      <c r="M92" s="323"/>
      <c r="N92" s="323"/>
      <c r="O92" s="323"/>
      <c r="P92" s="323"/>
      <c r="Q92" s="323"/>
      <c r="R92" s="323"/>
      <c r="S92" s="323"/>
      <c r="T92" s="323"/>
      <c r="U92" s="323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3"/>
      <c r="B93" s="323"/>
      <c r="C93" s="323"/>
      <c r="D93" s="323" t="s">
        <v>109</v>
      </c>
      <c r="E93" s="325"/>
      <c r="F93" s="325"/>
      <c r="G93" s="325"/>
      <c r="H93" s="323"/>
      <c r="I93" s="323" t="s">
        <v>109</v>
      </c>
      <c r="J93" s="326"/>
      <c r="K93" s="326"/>
      <c r="L93" s="326"/>
      <c r="M93" s="326"/>
      <c r="N93" s="323"/>
      <c r="O93" s="323"/>
      <c r="P93" s="323"/>
      <c r="Q93" s="323"/>
      <c r="R93" s="323"/>
      <c r="S93" s="323"/>
      <c r="T93" s="323"/>
      <c r="U93" s="323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3"/>
      <c r="B94" s="323"/>
      <c r="C94" s="323"/>
      <c r="D94" s="323"/>
      <c r="E94" s="325"/>
      <c r="F94" s="325"/>
      <c r="G94" s="325"/>
      <c r="H94" s="323"/>
      <c r="I94" s="323"/>
      <c r="J94" s="326"/>
      <c r="K94" s="326"/>
      <c r="L94" s="326"/>
      <c r="M94" s="326"/>
      <c r="N94" s="323"/>
      <c r="O94" s="323"/>
      <c r="P94" s="323"/>
      <c r="Q94" s="323"/>
      <c r="R94" s="323"/>
      <c r="S94" s="323"/>
      <c r="T94" s="323"/>
      <c r="U94" s="323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3"/>
      <c r="B95" s="323"/>
      <c r="C95" s="323"/>
      <c r="D95" s="323"/>
      <c r="E95" s="323"/>
      <c r="F95" s="323"/>
      <c r="G95" s="323"/>
      <c r="H95" s="323"/>
      <c r="I95" s="323"/>
      <c r="J95" s="323"/>
      <c r="K95" s="323"/>
      <c r="L95" s="323"/>
      <c r="M95" s="323"/>
      <c r="N95" s="323"/>
      <c r="O95" s="323"/>
      <c r="P95" s="323"/>
      <c r="Q95" s="323"/>
      <c r="R95" s="323"/>
      <c r="S95" s="323"/>
      <c r="T95" s="323"/>
      <c r="U95" s="323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3"/>
      <c r="B96" s="323"/>
      <c r="C96" s="323"/>
      <c r="D96" s="323"/>
      <c r="E96" s="323"/>
      <c r="F96" s="323"/>
      <c r="G96" s="323"/>
      <c r="H96" s="323"/>
      <c r="I96" s="323"/>
      <c r="J96" s="323"/>
      <c r="K96" s="323"/>
      <c r="L96" s="323"/>
      <c r="M96" s="323"/>
      <c r="N96" s="323"/>
      <c r="O96" s="323"/>
      <c r="P96" s="323"/>
      <c r="Q96" s="323"/>
      <c r="R96" s="323"/>
      <c r="S96" s="323"/>
      <c r="T96" s="323"/>
      <c r="U96" s="323"/>
      <c r="V96" s="3"/>
      <c r="W96" s="3"/>
      <c r="X96" s="3"/>
      <c r="Y96" s="3"/>
      <c r="Z96" s="3"/>
      <c r="AA96" s="3"/>
      <c r="AB96" s="3"/>
      <c r="AC96" s="3"/>
      <c r="AD96" s="3"/>
    </row>
    <row r="109" x14ac:dyDescent="0.25"/>
    <row r="110" x14ac:dyDescent="0.25"/>
    <row r="111" x14ac:dyDescent="0.25"/>
    <row r="112" x14ac:dyDescent="0.25"/>
    <row r="113" ht="15" hidden="1" customHeight="1" x14ac:dyDescent="0.25"/>
    <row r="125" x14ac:dyDescent="0.25"/>
    <row r="127" ht="15" hidden="1" customHeight="1" x14ac:dyDescent="0.25"/>
    <row r="128" ht="15" hidden="1" customHeight="1" x14ac:dyDescent="0.25"/>
    <row r="129" x14ac:dyDescent="0.25"/>
    <row r="130" x14ac:dyDescent="0.25"/>
    <row r="131" x14ac:dyDescent="0.25"/>
  </sheetData>
  <mergeCells count="65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5:AB27"/>
    <mergeCell ref="J26:L26"/>
    <mergeCell ref="M26:M27"/>
    <mergeCell ref="N26:N27"/>
    <mergeCell ref="O26:O27"/>
    <mergeCell ref="AA13:AA14"/>
    <mergeCell ref="D25:I25"/>
    <mergeCell ref="J25:O25"/>
    <mergeCell ref="P25:U25"/>
    <mergeCell ref="V25:AA25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61:U61"/>
    <mergeCell ref="P26:R26"/>
    <mergeCell ref="S26:S27"/>
    <mergeCell ref="T26:T27"/>
    <mergeCell ref="U26:U27"/>
    <mergeCell ref="B26:B27"/>
    <mergeCell ref="C26:C27"/>
    <mergeCell ref="D26:F26"/>
    <mergeCell ref="G26:G27"/>
    <mergeCell ref="H26:H27"/>
    <mergeCell ref="I26:I27"/>
    <mergeCell ref="Z26:Z27"/>
    <mergeCell ref="AA26:AA27"/>
    <mergeCell ref="C43:C44"/>
    <mergeCell ref="C46:C47"/>
    <mergeCell ref="D59:U59"/>
    <mergeCell ref="V26:X26"/>
    <mergeCell ref="Y26:Y27"/>
    <mergeCell ref="B62:U62"/>
    <mergeCell ref="B63:U63"/>
    <mergeCell ref="B82:U82"/>
    <mergeCell ref="E91:G91"/>
    <mergeCell ref="J91:M91"/>
  </mergeCells>
  <conditionalFormatting sqref="AB15:AB25">
    <cfRule type="cellIs" dxfId="35" priority="3" operator="equal">
      <formula>0</formula>
    </cfRule>
    <cfRule type="containsErrors" dxfId="34" priority="4">
      <formula>ISERROR(AB15)</formula>
    </cfRule>
  </conditionalFormatting>
  <conditionalFormatting sqref="AB28:AB41">
    <cfRule type="cellIs" dxfId="33" priority="1" operator="equal">
      <formula>0</formula>
    </cfRule>
    <cfRule type="containsErrors" dxfId="32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</sheetPr>
  <dimension ref="A1:AD358"/>
  <sheetViews>
    <sheetView showGridLines="0" zoomScale="80" zoomScaleNormal="80" zoomScaleSheetLayoutView="80" workbookViewId="0">
      <selection activeCell="Y47" sqref="Y4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7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24" t="s">
        <v>164</v>
      </c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328">
        <v>71294147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7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5</v>
      </c>
      <c r="C8" s="1"/>
      <c r="D8" s="717" t="s">
        <v>165</v>
      </c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5"/>
      <c r="U8" s="625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626" t="s">
        <v>7</v>
      </c>
      <c r="C10" s="592" t="s">
        <v>8</v>
      </c>
      <c r="D10" s="631" t="s">
        <v>9</v>
      </c>
      <c r="E10" s="632"/>
      <c r="F10" s="632"/>
      <c r="G10" s="632"/>
      <c r="H10" s="632"/>
      <c r="I10" s="633"/>
      <c r="J10" s="631" t="s">
        <v>166</v>
      </c>
      <c r="K10" s="632"/>
      <c r="L10" s="632"/>
      <c r="M10" s="632"/>
      <c r="N10" s="632"/>
      <c r="O10" s="633"/>
      <c r="P10" s="631" t="s">
        <v>11</v>
      </c>
      <c r="Q10" s="632"/>
      <c r="R10" s="632"/>
      <c r="S10" s="632"/>
      <c r="T10" s="632"/>
      <c r="U10" s="633"/>
      <c r="V10" s="631" t="s">
        <v>12</v>
      </c>
      <c r="W10" s="632"/>
      <c r="X10" s="632"/>
      <c r="Y10" s="632"/>
      <c r="Z10" s="632"/>
      <c r="AA10" s="633"/>
      <c r="AB10" s="615" t="s">
        <v>13</v>
      </c>
      <c r="AC10" s="3"/>
      <c r="AD10" s="3"/>
    </row>
    <row r="11" spans="1:30" ht="30.75" customHeight="1" thickBot="1" x14ac:dyDescent="0.3">
      <c r="A11" s="1"/>
      <c r="B11" s="627"/>
      <c r="C11" s="593"/>
      <c r="D11" s="618" t="s">
        <v>14</v>
      </c>
      <c r="E11" s="619"/>
      <c r="F11" s="619"/>
      <c r="G11" s="620"/>
      <c r="H11" s="8" t="s">
        <v>15</v>
      </c>
      <c r="I11" s="8" t="s">
        <v>16</v>
      </c>
      <c r="J11" s="618" t="s">
        <v>14</v>
      </c>
      <c r="K11" s="619"/>
      <c r="L11" s="619"/>
      <c r="M11" s="620"/>
      <c r="N11" s="8" t="s">
        <v>15</v>
      </c>
      <c r="O11" s="8" t="s">
        <v>16</v>
      </c>
      <c r="P11" s="618" t="s">
        <v>14</v>
      </c>
      <c r="Q11" s="619"/>
      <c r="R11" s="619"/>
      <c r="S11" s="620"/>
      <c r="T11" s="8" t="s">
        <v>15</v>
      </c>
      <c r="U11" s="8" t="s">
        <v>16</v>
      </c>
      <c r="V11" s="618" t="s">
        <v>14</v>
      </c>
      <c r="W11" s="619"/>
      <c r="X11" s="619"/>
      <c r="Y11" s="620"/>
      <c r="Z11" s="8" t="s">
        <v>15</v>
      </c>
      <c r="AA11" s="8" t="s">
        <v>16</v>
      </c>
      <c r="AB11" s="616"/>
      <c r="AC11" s="3"/>
      <c r="AD11" s="3"/>
    </row>
    <row r="12" spans="1:30" ht="15.75" customHeight="1" thickBot="1" x14ac:dyDescent="0.3">
      <c r="A12" s="1"/>
      <c r="B12" s="627"/>
      <c r="C12" s="629"/>
      <c r="D12" s="621" t="s">
        <v>17</v>
      </c>
      <c r="E12" s="622"/>
      <c r="F12" s="622"/>
      <c r="G12" s="622"/>
      <c r="H12" s="622"/>
      <c r="I12" s="623"/>
      <c r="J12" s="621" t="s">
        <v>17</v>
      </c>
      <c r="K12" s="622"/>
      <c r="L12" s="622"/>
      <c r="M12" s="622"/>
      <c r="N12" s="622"/>
      <c r="O12" s="623"/>
      <c r="P12" s="621" t="s">
        <v>17</v>
      </c>
      <c r="Q12" s="622"/>
      <c r="R12" s="622"/>
      <c r="S12" s="622"/>
      <c r="T12" s="622"/>
      <c r="U12" s="623"/>
      <c r="V12" s="621" t="s">
        <v>17</v>
      </c>
      <c r="W12" s="622"/>
      <c r="X12" s="622"/>
      <c r="Y12" s="622"/>
      <c r="Z12" s="622"/>
      <c r="AA12" s="623"/>
      <c r="AB12" s="616"/>
      <c r="AC12" s="3"/>
      <c r="AD12" s="3"/>
    </row>
    <row r="13" spans="1:30" ht="15.75" customHeight="1" thickBot="1" x14ac:dyDescent="0.3">
      <c r="A13" s="1"/>
      <c r="B13" s="628"/>
      <c r="C13" s="630"/>
      <c r="D13" s="613" t="s">
        <v>18</v>
      </c>
      <c r="E13" s="614"/>
      <c r="F13" s="614"/>
      <c r="G13" s="609" t="s">
        <v>19</v>
      </c>
      <c r="H13" s="611" t="s">
        <v>20</v>
      </c>
      <c r="I13" s="594" t="s">
        <v>17</v>
      </c>
      <c r="J13" s="613" t="s">
        <v>18</v>
      </c>
      <c r="K13" s="614"/>
      <c r="L13" s="614"/>
      <c r="M13" s="609" t="s">
        <v>19</v>
      </c>
      <c r="N13" s="611" t="s">
        <v>20</v>
      </c>
      <c r="O13" s="594" t="s">
        <v>17</v>
      </c>
      <c r="P13" s="613" t="s">
        <v>18</v>
      </c>
      <c r="Q13" s="614"/>
      <c r="R13" s="614"/>
      <c r="S13" s="609" t="s">
        <v>19</v>
      </c>
      <c r="T13" s="611" t="s">
        <v>20</v>
      </c>
      <c r="U13" s="594" t="s">
        <v>17</v>
      </c>
      <c r="V13" s="613" t="s">
        <v>18</v>
      </c>
      <c r="W13" s="614"/>
      <c r="X13" s="614"/>
      <c r="Y13" s="609" t="s">
        <v>19</v>
      </c>
      <c r="Z13" s="611" t="s">
        <v>20</v>
      </c>
      <c r="AA13" s="594" t="s">
        <v>17</v>
      </c>
      <c r="AB13" s="616"/>
      <c r="AC13" s="3"/>
      <c r="AD13" s="3"/>
    </row>
    <row r="14" spans="1:30" ht="15.75" thickBot="1" x14ac:dyDescent="0.3">
      <c r="A14" s="1"/>
      <c r="B14" s="9"/>
      <c r="C14" s="10"/>
      <c r="D14" s="11" t="s">
        <v>21</v>
      </c>
      <c r="E14" s="12" t="s">
        <v>22</v>
      </c>
      <c r="F14" s="12" t="s">
        <v>23</v>
      </c>
      <c r="G14" s="610"/>
      <c r="H14" s="612"/>
      <c r="I14" s="595"/>
      <c r="J14" s="11" t="s">
        <v>21</v>
      </c>
      <c r="K14" s="12" t="s">
        <v>22</v>
      </c>
      <c r="L14" s="12" t="s">
        <v>23</v>
      </c>
      <c r="M14" s="610"/>
      <c r="N14" s="612"/>
      <c r="O14" s="595"/>
      <c r="P14" s="11" t="s">
        <v>21</v>
      </c>
      <c r="Q14" s="12" t="s">
        <v>22</v>
      </c>
      <c r="R14" s="12" t="s">
        <v>23</v>
      </c>
      <c r="S14" s="610"/>
      <c r="T14" s="612"/>
      <c r="U14" s="595"/>
      <c r="V14" s="11" t="s">
        <v>21</v>
      </c>
      <c r="W14" s="12" t="s">
        <v>22</v>
      </c>
      <c r="X14" s="12" t="s">
        <v>23</v>
      </c>
      <c r="Y14" s="610"/>
      <c r="Z14" s="612"/>
      <c r="AA14" s="595"/>
      <c r="AB14" s="617"/>
      <c r="AC14" s="3"/>
      <c r="AD14" s="3"/>
    </row>
    <row r="15" spans="1:30" x14ac:dyDescent="0.25">
      <c r="A15" s="1"/>
      <c r="B15" s="13" t="s">
        <v>24</v>
      </c>
      <c r="C15" s="14" t="s">
        <v>25</v>
      </c>
      <c r="D15" s="15"/>
      <c r="E15" s="16"/>
      <c r="F15" s="17">
        <v>2834.5259999999998</v>
      </c>
      <c r="G15" s="18">
        <f>D15+E15+F15</f>
        <v>2834.5259999999998</v>
      </c>
      <c r="H15" s="19">
        <v>210.548</v>
      </c>
      <c r="I15" s="20">
        <f>G15+H15</f>
        <v>3045.0739999999996</v>
      </c>
      <c r="J15" s="329"/>
      <c r="K15" s="330"/>
      <c r="L15" s="415">
        <v>2400</v>
      </c>
      <c r="M15" s="331">
        <f t="shared" ref="M15:M24" si="0">SUM(J15:L15)</f>
        <v>2400</v>
      </c>
      <c r="N15" s="332">
        <v>345</v>
      </c>
      <c r="O15" s="333">
        <f>M15+N15</f>
        <v>2745</v>
      </c>
      <c r="P15" s="15"/>
      <c r="Q15" s="16"/>
      <c r="R15" s="334">
        <v>2060.0500000000002</v>
      </c>
      <c r="S15" s="18">
        <f>SUM(P15:R15)</f>
        <v>2060.0500000000002</v>
      </c>
      <c r="T15" s="19">
        <v>104.45099999999999</v>
      </c>
      <c r="U15" s="20">
        <f>S15+T15</f>
        <v>2164.5010000000002</v>
      </c>
      <c r="V15" s="15"/>
      <c r="W15" s="16"/>
      <c r="X15" s="17">
        <v>2900</v>
      </c>
      <c r="Y15" s="18">
        <f>SUM(V15:X15)</f>
        <v>2900</v>
      </c>
      <c r="Z15" s="19">
        <v>250</v>
      </c>
      <c r="AA15" s="20">
        <f>Y15+Z15</f>
        <v>3150</v>
      </c>
      <c r="AB15" s="21">
        <f>(AA15/O15)</f>
        <v>1.1475409836065573</v>
      </c>
      <c r="AC15" s="3"/>
      <c r="AD15" s="3"/>
    </row>
    <row r="16" spans="1:30" x14ac:dyDescent="0.25">
      <c r="A16" s="1"/>
      <c r="B16" s="22" t="s">
        <v>26</v>
      </c>
      <c r="C16" s="23" t="s">
        <v>123</v>
      </c>
      <c r="D16" s="24">
        <v>1810</v>
      </c>
      <c r="E16" s="25"/>
      <c r="F16" s="25"/>
      <c r="G16" s="26">
        <f>SUM(D16:F16)</f>
        <v>1810</v>
      </c>
      <c r="H16" s="27"/>
      <c r="I16" s="20">
        <f t="shared" ref="I16:I24" si="1">G16+H16</f>
        <v>1810</v>
      </c>
      <c r="J16" s="416">
        <v>1810</v>
      </c>
      <c r="K16" s="335"/>
      <c r="L16" s="335"/>
      <c r="M16" s="336">
        <f t="shared" si="0"/>
        <v>1810</v>
      </c>
      <c r="N16" s="337"/>
      <c r="O16" s="333">
        <f t="shared" ref="O16:O21" si="2">M16+N16</f>
        <v>1810</v>
      </c>
      <c r="P16" s="24">
        <v>905.2</v>
      </c>
      <c r="Q16" s="338"/>
      <c r="R16" s="25"/>
      <c r="S16" s="26">
        <f t="shared" ref="S16:S24" si="3">SUM(P16:R16)</f>
        <v>905.2</v>
      </c>
      <c r="T16" s="27"/>
      <c r="U16" s="20">
        <f t="shared" ref="U16:U21" si="4">S16+T16</f>
        <v>905.2</v>
      </c>
      <c r="V16" s="24">
        <v>1856</v>
      </c>
      <c r="W16" s="25"/>
      <c r="X16" s="25"/>
      <c r="Y16" s="26">
        <f t="shared" ref="Y16:Y24" si="5">SUM(V16:X16)</f>
        <v>1856</v>
      </c>
      <c r="Z16" s="27"/>
      <c r="AA16" s="20">
        <f t="shared" ref="AA16:AA21" si="6">Y16+Z16</f>
        <v>1856</v>
      </c>
      <c r="AB16" s="21">
        <f t="shared" ref="AB16:AB25" si="7">(AA16/O16)</f>
        <v>1.025414364640884</v>
      </c>
      <c r="AC16" s="3"/>
      <c r="AD16" s="3"/>
    </row>
    <row r="17" spans="1:30" x14ac:dyDescent="0.25">
      <c r="A17" s="1"/>
      <c r="B17" s="22" t="s">
        <v>28</v>
      </c>
      <c r="C17" s="28" t="s">
        <v>124</v>
      </c>
      <c r="D17" s="29">
        <f>137+1000+46</f>
        <v>1183</v>
      </c>
      <c r="E17" s="30"/>
      <c r="F17" s="30"/>
      <c r="G17" s="26">
        <f t="shared" ref="G17:G24" si="8">SUM(D17:F17)</f>
        <v>1183</v>
      </c>
      <c r="H17" s="31"/>
      <c r="I17" s="20">
        <f t="shared" si="1"/>
        <v>1183</v>
      </c>
      <c r="J17" s="342">
        <v>137</v>
      </c>
      <c r="K17" s="339"/>
      <c r="L17" s="339"/>
      <c r="M17" s="336">
        <f t="shared" si="0"/>
        <v>137</v>
      </c>
      <c r="N17" s="340"/>
      <c r="O17" s="333">
        <f t="shared" si="2"/>
        <v>137</v>
      </c>
      <c r="P17" s="29">
        <v>137</v>
      </c>
      <c r="Q17" s="30"/>
      <c r="R17" s="30"/>
      <c r="S17" s="26">
        <f t="shared" si="3"/>
        <v>137</v>
      </c>
      <c r="T17" s="31"/>
      <c r="U17" s="20">
        <f t="shared" si="4"/>
        <v>137</v>
      </c>
      <c r="V17" s="29"/>
      <c r="W17" s="30"/>
      <c r="X17" s="30"/>
      <c r="Y17" s="26">
        <f t="shared" si="5"/>
        <v>0</v>
      </c>
      <c r="Z17" s="31"/>
      <c r="AA17" s="20">
        <f t="shared" si="6"/>
        <v>0</v>
      </c>
      <c r="AB17" s="21">
        <f t="shared" si="7"/>
        <v>0</v>
      </c>
      <c r="AC17" s="3"/>
      <c r="AD17" s="3"/>
    </row>
    <row r="18" spans="1:30" x14ac:dyDescent="0.25">
      <c r="A18" s="1"/>
      <c r="B18" s="22" t="s">
        <v>125</v>
      </c>
      <c r="C18" s="341" t="s">
        <v>126</v>
      </c>
      <c r="D18" s="29"/>
      <c r="E18" s="30"/>
      <c r="F18" s="30"/>
      <c r="G18" s="26">
        <f t="shared" si="8"/>
        <v>0</v>
      </c>
      <c r="H18" s="27"/>
      <c r="I18" s="20">
        <f t="shared" si="1"/>
        <v>0</v>
      </c>
      <c r="J18" s="342"/>
      <c r="K18" s="339"/>
      <c r="L18" s="339"/>
      <c r="M18" s="336">
        <f t="shared" si="0"/>
        <v>0</v>
      </c>
      <c r="N18" s="337"/>
      <c r="O18" s="333">
        <f t="shared" si="2"/>
        <v>0</v>
      </c>
      <c r="P18" s="29"/>
      <c r="Q18" s="30"/>
      <c r="R18" s="30"/>
      <c r="S18" s="26">
        <f t="shared" si="3"/>
        <v>0</v>
      </c>
      <c r="T18" s="27"/>
      <c r="U18" s="20">
        <f t="shared" si="4"/>
        <v>0</v>
      </c>
      <c r="V18" s="29">
        <v>2870.8760000000002</v>
      </c>
      <c r="W18" s="30"/>
      <c r="X18" s="30"/>
      <c r="Y18" s="26">
        <f t="shared" si="5"/>
        <v>2870.8760000000002</v>
      </c>
      <c r="Z18" s="27"/>
      <c r="AA18" s="20">
        <f t="shared" si="6"/>
        <v>2870.8760000000002</v>
      </c>
      <c r="AB18" s="21"/>
      <c r="AC18" s="3"/>
      <c r="AD18" s="3"/>
    </row>
    <row r="19" spans="1:30" x14ac:dyDescent="0.25">
      <c r="A19" s="1"/>
      <c r="B19" s="22" t="s">
        <v>30</v>
      </c>
      <c r="C19" s="32" t="s">
        <v>31</v>
      </c>
      <c r="D19" s="33"/>
      <c r="E19" s="34">
        <v>12743.162</v>
      </c>
      <c r="F19" s="30"/>
      <c r="G19" s="26">
        <f t="shared" si="8"/>
        <v>12743.162</v>
      </c>
      <c r="H19" s="19"/>
      <c r="I19" s="20">
        <f t="shared" si="1"/>
        <v>12743.162</v>
      </c>
      <c r="J19" s="343"/>
      <c r="K19" s="417">
        <v>11212.3</v>
      </c>
      <c r="L19" s="339"/>
      <c r="M19" s="336">
        <f t="shared" si="0"/>
        <v>11212.3</v>
      </c>
      <c r="N19" s="332"/>
      <c r="O19" s="333">
        <f t="shared" si="2"/>
        <v>11212.3</v>
      </c>
      <c r="P19" s="33"/>
      <c r="Q19" s="34">
        <f>5528+121.7+961.636+138.175-6.557</f>
        <v>6742.9539999999997</v>
      </c>
      <c r="R19" s="30"/>
      <c r="S19" s="26">
        <f t="shared" si="3"/>
        <v>6742.9539999999997</v>
      </c>
      <c r="T19" s="19"/>
      <c r="U19" s="20">
        <f t="shared" si="4"/>
        <v>6742.9539999999997</v>
      </c>
      <c r="V19" s="33"/>
      <c r="W19" s="34">
        <f>9376.258+510.9</f>
        <v>9887.1579999999994</v>
      </c>
      <c r="X19" s="30"/>
      <c r="Y19" s="26">
        <f t="shared" si="5"/>
        <v>9887.1579999999994</v>
      </c>
      <c r="Z19" s="19"/>
      <c r="AA19" s="20">
        <f t="shared" si="6"/>
        <v>9887.1579999999994</v>
      </c>
      <c r="AB19" s="21">
        <f t="shared" si="7"/>
        <v>0.88181354405429757</v>
      </c>
      <c r="AC19" s="3"/>
      <c r="AD19" s="3"/>
    </row>
    <row r="20" spans="1:30" x14ac:dyDescent="0.25">
      <c r="A20" s="1"/>
      <c r="B20" s="22" t="s">
        <v>32</v>
      </c>
      <c r="C20" s="35" t="s">
        <v>33</v>
      </c>
      <c r="D20" s="36"/>
      <c r="E20" s="30"/>
      <c r="F20" s="37">
        <v>356.99700000000001</v>
      </c>
      <c r="G20" s="26">
        <f t="shared" si="8"/>
        <v>356.99700000000001</v>
      </c>
      <c r="H20" s="38"/>
      <c r="I20" s="20">
        <f t="shared" si="1"/>
        <v>356.99700000000001</v>
      </c>
      <c r="J20" s="344"/>
      <c r="K20" s="339"/>
      <c r="L20" s="397">
        <v>347</v>
      </c>
      <c r="M20" s="336">
        <f t="shared" si="0"/>
        <v>347</v>
      </c>
      <c r="N20" s="345"/>
      <c r="O20" s="333">
        <f t="shared" si="2"/>
        <v>347</v>
      </c>
      <c r="P20" s="36"/>
      <c r="Q20" s="30"/>
      <c r="R20" s="37">
        <f>17.359+50.544+6.604+12.581+37+13.369+36.018+5.011</f>
        <v>178.48599999999999</v>
      </c>
      <c r="S20" s="26">
        <f t="shared" si="3"/>
        <v>178.48599999999999</v>
      </c>
      <c r="T20" s="38"/>
      <c r="U20" s="20">
        <f t="shared" si="4"/>
        <v>178.48599999999999</v>
      </c>
      <c r="V20" s="36"/>
      <c r="W20" s="30"/>
      <c r="X20" s="37">
        <v>258.2</v>
      </c>
      <c r="Y20" s="26">
        <f t="shared" si="5"/>
        <v>258.2</v>
      </c>
      <c r="Z20" s="38"/>
      <c r="AA20" s="20">
        <f t="shared" si="6"/>
        <v>258.2</v>
      </c>
      <c r="AB20" s="21">
        <f t="shared" si="7"/>
        <v>0.74409221902017286</v>
      </c>
      <c r="AC20" s="3"/>
      <c r="AD20" s="3"/>
    </row>
    <row r="21" spans="1:30" x14ac:dyDescent="0.25">
      <c r="A21" s="1"/>
      <c r="B21" s="22" t="s">
        <v>34</v>
      </c>
      <c r="C21" s="39" t="s">
        <v>35</v>
      </c>
      <c r="D21" s="33"/>
      <c r="E21" s="25"/>
      <c r="F21" s="40">
        <v>50.991999999999997</v>
      </c>
      <c r="G21" s="26">
        <f t="shared" si="8"/>
        <v>50.991999999999997</v>
      </c>
      <c r="H21" s="38"/>
      <c r="I21" s="20">
        <f t="shared" si="1"/>
        <v>50.991999999999997</v>
      </c>
      <c r="J21" s="343"/>
      <c r="K21" s="335"/>
      <c r="L21" s="418">
        <v>30</v>
      </c>
      <c r="M21" s="336">
        <f t="shared" si="0"/>
        <v>30</v>
      </c>
      <c r="N21" s="345"/>
      <c r="O21" s="333">
        <f t="shared" si="2"/>
        <v>30</v>
      </c>
      <c r="P21" s="33"/>
      <c r="Q21" s="25"/>
      <c r="R21" s="40"/>
      <c r="S21" s="26">
        <f t="shared" si="3"/>
        <v>0</v>
      </c>
      <c r="T21" s="38"/>
      <c r="U21" s="20">
        <f t="shared" si="4"/>
        <v>0</v>
      </c>
      <c r="V21" s="33"/>
      <c r="W21" s="25"/>
      <c r="X21" s="40">
        <v>50</v>
      </c>
      <c r="Y21" s="26">
        <f t="shared" si="5"/>
        <v>50</v>
      </c>
      <c r="Z21" s="38"/>
      <c r="AA21" s="20">
        <f t="shared" si="6"/>
        <v>50</v>
      </c>
      <c r="AB21" s="21">
        <f t="shared" si="7"/>
        <v>1.6666666666666667</v>
      </c>
      <c r="AC21" s="3"/>
      <c r="AD21" s="3"/>
    </row>
    <row r="22" spans="1:30" x14ac:dyDescent="0.25">
      <c r="A22" s="1"/>
      <c r="B22" s="22" t="s">
        <v>36</v>
      </c>
      <c r="C22" s="41" t="s">
        <v>37</v>
      </c>
      <c r="D22" s="33"/>
      <c r="E22" s="25"/>
      <c r="F22" s="40">
        <f>80.529+259.636</f>
        <v>340.16500000000002</v>
      </c>
      <c r="G22" s="26">
        <f t="shared" si="8"/>
        <v>340.16500000000002</v>
      </c>
      <c r="H22" s="42">
        <v>2.5</v>
      </c>
      <c r="I22" s="20">
        <f>G22+H22</f>
        <v>342.66500000000002</v>
      </c>
      <c r="J22" s="343"/>
      <c r="K22" s="335"/>
      <c r="L22" s="418">
        <v>170</v>
      </c>
      <c r="M22" s="336">
        <f t="shared" si="0"/>
        <v>170</v>
      </c>
      <c r="N22" s="346">
        <v>5</v>
      </c>
      <c r="O22" s="333">
        <f>M22+N22</f>
        <v>175</v>
      </c>
      <c r="P22" s="33"/>
      <c r="Q22" s="25"/>
      <c r="R22" s="40">
        <f>65.331+34.655</f>
        <v>99.986000000000004</v>
      </c>
      <c r="S22" s="26">
        <f t="shared" si="3"/>
        <v>99.986000000000004</v>
      </c>
      <c r="T22" s="42">
        <v>2.5</v>
      </c>
      <c r="U22" s="20">
        <f>S22+T22</f>
        <v>102.486</v>
      </c>
      <c r="V22" s="33"/>
      <c r="W22" s="25"/>
      <c r="X22" s="40">
        <v>300</v>
      </c>
      <c r="Y22" s="26">
        <f t="shared" si="5"/>
        <v>300</v>
      </c>
      <c r="Z22" s="42">
        <v>5</v>
      </c>
      <c r="AA22" s="20">
        <f>Y22+Z22</f>
        <v>305</v>
      </c>
      <c r="AB22" s="21">
        <f t="shared" si="7"/>
        <v>1.7428571428571429</v>
      </c>
      <c r="AC22" s="3"/>
      <c r="AD22" s="3"/>
    </row>
    <row r="23" spans="1:30" x14ac:dyDescent="0.25">
      <c r="A23" s="1"/>
      <c r="B23" s="22" t="s">
        <v>38</v>
      </c>
      <c r="C23" s="41" t="s">
        <v>39</v>
      </c>
      <c r="D23" s="33"/>
      <c r="E23" s="25"/>
      <c r="F23" s="40"/>
      <c r="G23" s="26">
        <f t="shared" si="8"/>
        <v>0</v>
      </c>
      <c r="H23" s="42"/>
      <c r="I23" s="20">
        <f t="shared" si="1"/>
        <v>0</v>
      </c>
      <c r="J23" s="343"/>
      <c r="K23" s="335"/>
      <c r="L23" s="418"/>
      <c r="M23" s="336">
        <f t="shared" si="0"/>
        <v>0</v>
      </c>
      <c r="N23" s="346"/>
      <c r="O23" s="333">
        <f t="shared" ref="O23:O24" si="9">M23+N23</f>
        <v>0</v>
      </c>
      <c r="P23" s="33"/>
      <c r="Q23" s="25"/>
      <c r="R23" s="40"/>
      <c r="S23" s="26">
        <f t="shared" si="3"/>
        <v>0</v>
      </c>
      <c r="T23" s="42"/>
      <c r="U23" s="20">
        <f t="shared" ref="U23:U24" si="10">S23+T23</f>
        <v>0</v>
      </c>
      <c r="V23" s="33"/>
      <c r="W23" s="25"/>
      <c r="X23" s="40"/>
      <c r="Y23" s="26">
        <f t="shared" si="5"/>
        <v>0</v>
      </c>
      <c r="Z23" s="42"/>
      <c r="AA23" s="20">
        <f t="shared" ref="AA23:AA24" si="11">Y23+Z23</f>
        <v>0</v>
      </c>
      <c r="AB23" s="21" t="e">
        <f t="shared" si="7"/>
        <v>#DIV/0!</v>
      </c>
      <c r="AC23" s="3"/>
      <c r="AD23" s="3"/>
    </row>
    <row r="24" spans="1:30" ht="15.75" thickBot="1" x14ac:dyDescent="0.3">
      <c r="A24" s="1"/>
      <c r="B24" s="43" t="s">
        <v>40</v>
      </c>
      <c r="C24" s="44" t="s">
        <v>41</v>
      </c>
      <c r="D24" s="45"/>
      <c r="E24" s="46"/>
      <c r="F24" s="47"/>
      <c r="G24" s="26">
        <f t="shared" si="8"/>
        <v>0</v>
      </c>
      <c r="H24" s="49"/>
      <c r="I24" s="50">
        <f t="shared" si="1"/>
        <v>0</v>
      </c>
      <c r="J24" s="347"/>
      <c r="K24" s="348"/>
      <c r="L24" s="419"/>
      <c r="M24" s="349">
        <f t="shared" si="0"/>
        <v>0</v>
      </c>
      <c r="N24" s="350"/>
      <c r="O24" s="351">
        <f t="shared" si="9"/>
        <v>0</v>
      </c>
      <c r="P24" s="45"/>
      <c r="Q24" s="46"/>
      <c r="R24" s="47"/>
      <c r="S24" s="48">
        <f t="shared" si="3"/>
        <v>0</v>
      </c>
      <c r="T24" s="49"/>
      <c r="U24" s="50">
        <f t="shared" si="10"/>
        <v>0</v>
      </c>
      <c r="V24" s="45"/>
      <c r="W24" s="46"/>
      <c r="X24" s="47"/>
      <c r="Y24" s="48">
        <f t="shared" si="5"/>
        <v>0</v>
      </c>
      <c r="Z24" s="49"/>
      <c r="AA24" s="50">
        <f t="shared" si="11"/>
        <v>0</v>
      </c>
      <c r="AB24" s="51" t="e">
        <f t="shared" si="7"/>
        <v>#DIV/0!</v>
      </c>
      <c r="AC24" s="3"/>
      <c r="AD24" s="3"/>
    </row>
    <row r="25" spans="1:30" ht="15.75" thickBot="1" x14ac:dyDescent="0.3">
      <c r="A25" s="1"/>
      <c r="B25" s="52" t="s">
        <v>42</v>
      </c>
      <c r="C25" s="53" t="s">
        <v>43</v>
      </c>
      <c r="D25" s="54">
        <f>SUM(D15:D22)</f>
        <v>2993</v>
      </c>
      <c r="E25" s="55">
        <f>SUM(E15:E22)</f>
        <v>12743.162</v>
      </c>
      <c r="F25" s="55">
        <f>SUM(F15:F22)</f>
        <v>3582.68</v>
      </c>
      <c r="G25" s="56">
        <f>SUM(D25:F25)</f>
        <v>19318.842000000001</v>
      </c>
      <c r="H25" s="57">
        <f>SUM(H15:H22)</f>
        <v>213.048</v>
      </c>
      <c r="I25" s="57">
        <f>SUM(I15:I22)</f>
        <v>19531.89</v>
      </c>
      <c r="J25" s="352">
        <f>SUM(J15:J22)</f>
        <v>1947</v>
      </c>
      <c r="K25" s="353">
        <f>SUM(K15:K22)</f>
        <v>11212.3</v>
      </c>
      <c r="L25" s="353">
        <f>SUM(L15:L22)</f>
        <v>2947</v>
      </c>
      <c r="M25" s="354">
        <f>SUM(J25:L25)</f>
        <v>16106.3</v>
      </c>
      <c r="N25" s="355">
        <f>SUM(N15:N22)</f>
        <v>350</v>
      </c>
      <c r="O25" s="355">
        <f>SUM(O15:O22)</f>
        <v>16456.3</v>
      </c>
      <c r="P25" s="54">
        <f>SUM(P15:P22)</f>
        <v>1042.2</v>
      </c>
      <c r="Q25" s="55">
        <f>SUM(Q15:Q22)</f>
        <v>6742.9539999999997</v>
      </c>
      <c r="R25" s="55">
        <f>SUM(R15:R22)</f>
        <v>2338.5219999999999</v>
      </c>
      <c r="S25" s="56">
        <f>SUM(P25:R25)</f>
        <v>10123.675999999999</v>
      </c>
      <c r="T25" s="57">
        <f>SUM(T15:T22)</f>
        <v>106.95099999999999</v>
      </c>
      <c r="U25" s="57">
        <f>SUM(U15:U22)</f>
        <v>10230.627</v>
      </c>
      <c r="V25" s="54">
        <f>SUM(V15:V22)</f>
        <v>4726.8760000000002</v>
      </c>
      <c r="W25" s="55">
        <f>SUM(W15:W22)</f>
        <v>9887.1579999999994</v>
      </c>
      <c r="X25" s="55">
        <f>SUM(X15:X22)</f>
        <v>3508.2</v>
      </c>
      <c r="Y25" s="56">
        <f>SUM(V25:X25)</f>
        <v>18122.234</v>
      </c>
      <c r="Z25" s="57">
        <f>SUM(Z15:Z22)</f>
        <v>255</v>
      </c>
      <c r="AA25" s="57">
        <f>SUM(AA15:AA22)</f>
        <v>18377.234</v>
      </c>
      <c r="AB25" s="58">
        <f t="shared" si="7"/>
        <v>1.1167293984674562</v>
      </c>
      <c r="AC25" s="3"/>
      <c r="AD25" s="3"/>
    </row>
    <row r="26" spans="1:30" ht="15.75" customHeight="1" thickBot="1" x14ac:dyDescent="0.3">
      <c r="A26" s="1"/>
      <c r="B26" s="59"/>
      <c r="C26" s="60"/>
      <c r="D26" s="596" t="s">
        <v>44</v>
      </c>
      <c r="E26" s="597"/>
      <c r="F26" s="597"/>
      <c r="G26" s="598"/>
      <c r="H26" s="598"/>
      <c r="I26" s="599"/>
      <c r="J26" s="705" t="s">
        <v>44</v>
      </c>
      <c r="K26" s="706"/>
      <c r="L26" s="706"/>
      <c r="M26" s="707"/>
      <c r="N26" s="707"/>
      <c r="O26" s="708"/>
      <c r="P26" s="596" t="s">
        <v>44</v>
      </c>
      <c r="Q26" s="597"/>
      <c r="R26" s="597"/>
      <c r="S26" s="598"/>
      <c r="T26" s="598"/>
      <c r="U26" s="599"/>
      <c r="V26" s="596" t="s">
        <v>44</v>
      </c>
      <c r="W26" s="597"/>
      <c r="X26" s="597"/>
      <c r="Y26" s="598"/>
      <c r="Z26" s="598"/>
      <c r="AA26" s="599"/>
      <c r="AB26" s="600" t="s">
        <v>13</v>
      </c>
      <c r="AC26" s="3"/>
      <c r="AD26" s="3"/>
    </row>
    <row r="27" spans="1:30" ht="15.75" thickBot="1" x14ac:dyDescent="0.3">
      <c r="A27" s="1"/>
      <c r="B27" s="590" t="s">
        <v>7</v>
      </c>
      <c r="C27" s="592" t="s">
        <v>8</v>
      </c>
      <c r="D27" s="586" t="s">
        <v>45</v>
      </c>
      <c r="E27" s="587"/>
      <c r="F27" s="587"/>
      <c r="G27" s="588" t="s">
        <v>46</v>
      </c>
      <c r="H27" s="578" t="s">
        <v>47</v>
      </c>
      <c r="I27" s="580" t="s">
        <v>44</v>
      </c>
      <c r="J27" s="709" t="s">
        <v>45</v>
      </c>
      <c r="K27" s="710"/>
      <c r="L27" s="710"/>
      <c r="M27" s="711" t="s">
        <v>46</v>
      </c>
      <c r="N27" s="713" t="s">
        <v>47</v>
      </c>
      <c r="O27" s="715" t="s">
        <v>44</v>
      </c>
      <c r="P27" s="586" t="s">
        <v>45</v>
      </c>
      <c r="Q27" s="587"/>
      <c r="R27" s="587"/>
      <c r="S27" s="588" t="s">
        <v>46</v>
      </c>
      <c r="T27" s="578" t="s">
        <v>47</v>
      </c>
      <c r="U27" s="580" t="s">
        <v>44</v>
      </c>
      <c r="V27" s="586" t="s">
        <v>45</v>
      </c>
      <c r="W27" s="587"/>
      <c r="X27" s="587"/>
      <c r="Y27" s="588" t="s">
        <v>46</v>
      </c>
      <c r="Z27" s="578" t="s">
        <v>47</v>
      </c>
      <c r="AA27" s="580" t="s">
        <v>44</v>
      </c>
      <c r="AB27" s="601"/>
      <c r="AC27" s="3"/>
      <c r="AD27" s="3"/>
    </row>
    <row r="28" spans="1:30" ht="15.75" thickBot="1" x14ac:dyDescent="0.3">
      <c r="A28" s="1"/>
      <c r="B28" s="591"/>
      <c r="C28" s="593"/>
      <c r="D28" s="61" t="s">
        <v>48</v>
      </c>
      <c r="E28" s="62" t="s">
        <v>49</v>
      </c>
      <c r="F28" s="63" t="s">
        <v>50</v>
      </c>
      <c r="G28" s="589"/>
      <c r="H28" s="579"/>
      <c r="I28" s="581"/>
      <c r="J28" s="356" t="s">
        <v>48</v>
      </c>
      <c r="K28" s="357" t="s">
        <v>49</v>
      </c>
      <c r="L28" s="358" t="s">
        <v>50</v>
      </c>
      <c r="M28" s="712"/>
      <c r="N28" s="714"/>
      <c r="O28" s="716"/>
      <c r="P28" s="61" t="s">
        <v>48</v>
      </c>
      <c r="Q28" s="62" t="s">
        <v>49</v>
      </c>
      <c r="R28" s="63" t="s">
        <v>50</v>
      </c>
      <c r="S28" s="589"/>
      <c r="T28" s="579"/>
      <c r="U28" s="581"/>
      <c r="V28" s="61" t="s">
        <v>48</v>
      </c>
      <c r="W28" s="62" t="s">
        <v>49</v>
      </c>
      <c r="X28" s="63" t="s">
        <v>50</v>
      </c>
      <c r="Y28" s="589"/>
      <c r="Z28" s="579"/>
      <c r="AA28" s="581"/>
      <c r="AB28" s="602"/>
      <c r="AC28" s="3"/>
      <c r="AD28" s="3"/>
    </row>
    <row r="29" spans="1:30" x14ac:dyDescent="0.25">
      <c r="A29" s="1"/>
      <c r="B29" s="13" t="s">
        <v>51</v>
      </c>
      <c r="C29" s="67" t="s">
        <v>52</v>
      </c>
      <c r="D29" s="68">
        <v>1000</v>
      </c>
      <c r="E29" s="68">
        <v>570.553</v>
      </c>
      <c r="F29" s="68">
        <v>821</v>
      </c>
      <c r="G29" s="70">
        <f>SUM(D29:F29)</f>
        <v>2391.5529999999999</v>
      </c>
      <c r="H29" s="70"/>
      <c r="I29" s="420">
        <f>G29+H29</f>
        <v>2391.5529999999999</v>
      </c>
      <c r="J29" s="421"/>
      <c r="K29" s="422"/>
      <c r="L29" s="422">
        <v>500</v>
      </c>
      <c r="M29" s="359">
        <f>SUM(J29:L29)</f>
        <v>500</v>
      </c>
      <c r="N29" s="359">
        <v>300</v>
      </c>
      <c r="O29" s="360">
        <f>M29+N29</f>
        <v>800</v>
      </c>
      <c r="P29" s="72"/>
      <c r="Q29" s="68"/>
      <c r="R29" s="68">
        <v>531.81799999999998</v>
      </c>
      <c r="S29" s="70">
        <f>SUM(P29:R29)</f>
        <v>531.81799999999998</v>
      </c>
      <c r="T29" s="70"/>
      <c r="U29" s="71">
        <f>S29+T29</f>
        <v>531.81799999999998</v>
      </c>
      <c r="V29" s="72"/>
      <c r="W29" s="68"/>
      <c r="X29" s="68">
        <v>800</v>
      </c>
      <c r="Y29" s="70">
        <f>SUM(V29:X29)</f>
        <v>800</v>
      </c>
      <c r="Z29" s="70">
        <v>200</v>
      </c>
      <c r="AA29" s="71">
        <f>Y29+Z29</f>
        <v>1000</v>
      </c>
      <c r="AB29" s="21">
        <f t="shared" ref="AB29:AB42" si="12">(AA29/O29)</f>
        <v>1.25</v>
      </c>
      <c r="AC29" s="3"/>
      <c r="AD29" s="3"/>
    </row>
    <row r="30" spans="1:30" x14ac:dyDescent="0.25">
      <c r="A30" s="1"/>
      <c r="B30" s="22" t="s">
        <v>53</v>
      </c>
      <c r="C30" s="73" t="s">
        <v>54</v>
      </c>
      <c r="D30" s="74">
        <v>33</v>
      </c>
      <c r="E30" s="75">
        <v>153.17099999999999</v>
      </c>
      <c r="F30" s="75">
        <v>615.1</v>
      </c>
      <c r="G30" s="76">
        <f t="shared" ref="G30:G39" si="13">SUM(D30:F30)</f>
        <v>801.27099999999996</v>
      </c>
      <c r="H30" s="77"/>
      <c r="I30" s="423">
        <f t="shared" ref="I30:I39" si="14">G30+H30</f>
        <v>801.27099999999996</v>
      </c>
      <c r="J30" s="424"/>
      <c r="K30" s="425">
        <v>50</v>
      </c>
      <c r="L30" s="425">
        <v>500</v>
      </c>
      <c r="M30" s="361">
        <f t="shared" ref="M30:M39" si="15">SUM(J30:L30)</f>
        <v>550</v>
      </c>
      <c r="N30" s="362"/>
      <c r="O30" s="333">
        <f t="shared" ref="O30:O39" si="16">M30+N30</f>
        <v>550</v>
      </c>
      <c r="P30" s="78"/>
      <c r="Q30" s="75">
        <v>69.5</v>
      </c>
      <c r="R30" s="75">
        <v>251.3</v>
      </c>
      <c r="S30" s="76">
        <f t="shared" ref="S30:S39" si="17">SUM(P30:R30)</f>
        <v>320.8</v>
      </c>
      <c r="T30" s="77"/>
      <c r="U30" s="20">
        <f t="shared" ref="U30:U39" si="18">S30+T30</f>
        <v>320.8</v>
      </c>
      <c r="V30" s="78">
        <v>33</v>
      </c>
      <c r="W30" s="75"/>
      <c r="X30" s="75">
        <v>800</v>
      </c>
      <c r="Y30" s="76">
        <f t="shared" ref="Y30:Y39" si="19">SUM(V30:X30)</f>
        <v>833</v>
      </c>
      <c r="Z30" s="77"/>
      <c r="AA30" s="20">
        <f t="shared" ref="AA30:AA39" si="20">Y30+Z30</f>
        <v>833</v>
      </c>
      <c r="AB30" s="21">
        <f t="shared" si="12"/>
        <v>1.5145454545454546</v>
      </c>
      <c r="AC30" s="3"/>
      <c r="AD30" s="3"/>
    </row>
    <row r="31" spans="1:30" x14ac:dyDescent="0.25">
      <c r="A31" s="1"/>
      <c r="B31" s="22" t="s">
        <v>55</v>
      </c>
      <c r="C31" s="41" t="s">
        <v>56</v>
      </c>
      <c r="D31" s="79">
        <v>1033.8389999999999</v>
      </c>
      <c r="E31" s="79"/>
      <c r="F31" s="79"/>
      <c r="G31" s="76">
        <f t="shared" si="13"/>
        <v>1033.8389999999999</v>
      </c>
      <c r="H31" s="76">
        <v>62.537999999999997</v>
      </c>
      <c r="I31" s="423">
        <f t="shared" si="14"/>
        <v>1096.377</v>
      </c>
      <c r="J31" s="426">
        <v>1100</v>
      </c>
      <c r="K31" s="246"/>
      <c r="L31" s="427">
        <v>250</v>
      </c>
      <c r="M31" s="361">
        <f t="shared" si="15"/>
        <v>1350</v>
      </c>
      <c r="N31" s="361">
        <v>50</v>
      </c>
      <c r="O31" s="333">
        <f t="shared" si="16"/>
        <v>1400</v>
      </c>
      <c r="P31" s="80">
        <f>73.959+169.2+362.377</f>
        <v>605.53600000000006</v>
      </c>
      <c r="Q31" s="79"/>
      <c r="R31" s="79"/>
      <c r="S31" s="76">
        <f t="shared" si="17"/>
        <v>605.53600000000006</v>
      </c>
      <c r="T31" s="76">
        <v>3.8220000000000001</v>
      </c>
      <c r="U31" s="20">
        <f t="shared" si="18"/>
        <v>609.35800000000006</v>
      </c>
      <c r="V31" s="80">
        <v>1000</v>
      </c>
      <c r="W31" s="79"/>
      <c r="X31" s="79"/>
      <c r="Y31" s="76">
        <f t="shared" si="19"/>
        <v>1000</v>
      </c>
      <c r="Z31" s="76">
        <v>55</v>
      </c>
      <c r="AA31" s="20">
        <f t="shared" si="20"/>
        <v>1055</v>
      </c>
      <c r="AB31" s="21">
        <f t="shared" si="12"/>
        <v>0.75357142857142856</v>
      </c>
      <c r="AC31" s="3"/>
      <c r="AD31" s="3"/>
    </row>
    <row r="32" spans="1:30" x14ac:dyDescent="0.25">
      <c r="A32" s="1"/>
      <c r="B32" s="22" t="s">
        <v>57</v>
      </c>
      <c r="C32" s="41" t="s">
        <v>58</v>
      </c>
      <c r="D32" s="79">
        <v>933.798</v>
      </c>
      <c r="E32" s="79">
        <v>598.66600000000005</v>
      </c>
      <c r="F32" s="79">
        <v>339.31400000000002</v>
      </c>
      <c r="G32" s="76">
        <f t="shared" si="13"/>
        <v>1871.778</v>
      </c>
      <c r="H32" s="76"/>
      <c r="I32" s="423">
        <f t="shared" si="14"/>
        <v>1871.778</v>
      </c>
      <c r="J32" s="426">
        <v>504.7</v>
      </c>
      <c r="K32" s="427">
        <v>25</v>
      </c>
      <c r="L32" s="427">
        <v>350</v>
      </c>
      <c r="M32" s="361">
        <f t="shared" si="15"/>
        <v>879.7</v>
      </c>
      <c r="N32" s="361"/>
      <c r="O32" s="333">
        <f t="shared" si="16"/>
        <v>879.7</v>
      </c>
      <c r="P32" s="80">
        <f>0.44+16.705+17.038+39.258+12.422+66.847+10.89+6.284+7.26+14.042+8.45+17.305+67.76+6.742+9.6+5.19</f>
        <v>306.233</v>
      </c>
      <c r="Q32" s="79">
        <f>2.653+4.787+2.5+1.881</f>
        <v>11.821</v>
      </c>
      <c r="R32" s="79">
        <f>0.612+0.861+81.1+116.05+0.19+51.028</f>
        <v>249.84099999999998</v>
      </c>
      <c r="S32" s="76">
        <f t="shared" si="17"/>
        <v>567.89499999999998</v>
      </c>
      <c r="T32" s="76"/>
      <c r="U32" s="20">
        <f t="shared" si="18"/>
        <v>567.89499999999998</v>
      </c>
      <c r="V32" s="80">
        <v>640.4</v>
      </c>
      <c r="W32" s="79"/>
      <c r="X32" s="79">
        <v>200</v>
      </c>
      <c r="Y32" s="76">
        <f t="shared" si="19"/>
        <v>840.4</v>
      </c>
      <c r="Z32" s="76"/>
      <c r="AA32" s="20">
        <f t="shared" si="20"/>
        <v>840.4</v>
      </c>
      <c r="AB32" s="21">
        <f t="shared" si="12"/>
        <v>0.95532567920882117</v>
      </c>
      <c r="AC32" s="3"/>
      <c r="AD32" s="3"/>
    </row>
    <row r="33" spans="1:30" x14ac:dyDescent="0.25">
      <c r="A33" s="1"/>
      <c r="B33" s="22" t="s">
        <v>59</v>
      </c>
      <c r="C33" s="41" t="s">
        <v>60</v>
      </c>
      <c r="D33" s="363">
        <f>D34+D35</f>
        <v>113</v>
      </c>
      <c r="E33" s="79">
        <f>E34+E35</f>
        <v>8360.9369999999999</v>
      </c>
      <c r="F33" s="79">
        <f>F34+F35</f>
        <v>280.72000000000003</v>
      </c>
      <c r="G33" s="76">
        <f t="shared" si="13"/>
        <v>8754.6569999999992</v>
      </c>
      <c r="H33" s="76"/>
      <c r="I33" s="423">
        <f t="shared" si="14"/>
        <v>8754.6569999999992</v>
      </c>
      <c r="J33" s="426">
        <v>101</v>
      </c>
      <c r="K33" s="427">
        <v>8267.5</v>
      </c>
      <c r="L33" s="427">
        <v>250</v>
      </c>
      <c r="M33" s="361">
        <f t="shared" si="15"/>
        <v>8618.5</v>
      </c>
      <c r="N33" s="361"/>
      <c r="O33" s="333">
        <f t="shared" si="16"/>
        <v>8618.5</v>
      </c>
      <c r="P33" s="82"/>
      <c r="Q33" s="79">
        <f>SUM(Q34:Q35)</f>
        <v>4590.9150000000009</v>
      </c>
      <c r="R33" s="79">
        <f>SUM(R34:R35)</f>
        <v>29.2</v>
      </c>
      <c r="S33" s="76">
        <f t="shared" si="17"/>
        <v>4620.1150000000007</v>
      </c>
      <c r="T33" s="76"/>
      <c r="U33" s="20">
        <f t="shared" si="18"/>
        <v>4620.1150000000007</v>
      </c>
      <c r="V33" s="80">
        <f>SUM(V34:V35)</f>
        <v>1893.54</v>
      </c>
      <c r="W33" s="79">
        <f>SUM(W34:W35)</f>
        <v>7329.3770000000004</v>
      </c>
      <c r="X33" s="79">
        <f>SUM(X34:X35)</f>
        <v>370</v>
      </c>
      <c r="Y33" s="76">
        <f t="shared" si="19"/>
        <v>9592.9170000000013</v>
      </c>
      <c r="Z33" s="76"/>
      <c r="AA33" s="20">
        <f t="shared" si="20"/>
        <v>9592.9170000000013</v>
      </c>
      <c r="AB33" s="21">
        <f t="shared" si="12"/>
        <v>1.1130610895167374</v>
      </c>
      <c r="AC33" s="3"/>
      <c r="AD33" s="3"/>
    </row>
    <row r="34" spans="1:30" x14ac:dyDescent="0.25">
      <c r="A34" s="1"/>
      <c r="B34" s="22" t="s">
        <v>61</v>
      </c>
      <c r="C34" s="35" t="s">
        <v>127</v>
      </c>
      <c r="D34" s="363">
        <v>101</v>
      </c>
      <c r="E34" s="79">
        <v>7741.6369999999997</v>
      </c>
      <c r="F34" s="79">
        <v>262.37400000000002</v>
      </c>
      <c r="G34" s="76">
        <f t="shared" si="13"/>
        <v>8105.0109999999995</v>
      </c>
      <c r="H34" s="76"/>
      <c r="I34" s="423">
        <f t="shared" si="14"/>
        <v>8105.0109999999995</v>
      </c>
      <c r="J34" s="426">
        <v>101</v>
      </c>
      <c r="K34" s="427">
        <v>7767.5</v>
      </c>
      <c r="L34" s="427">
        <v>150</v>
      </c>
      <c r="M34" s="361">
        <f t="shared" si="15"/>
        <v>8018.5</v>
      </c>
      <c r="N34" s="361"/>
      <c r="O34" s="333">
        <f t="shared" si="16"/>
        <v>8018.5</v>
      </c>
      <c r="P34" s="82"/>
      <c r="Q34" s="79">
        <f>4260.604+16.599</f>
        <v>4277.2030000000004</v>
      </c>
      <c r="R34" s="79">
        <v>4</v>
      </c>
      <c r="S34" s="76">
        <f t="shared" si="17"/>
        <v>4281.2030000000004</v>
      </c>
      <c r="T34" s="76"/>
      <c r="U34" s="20">
        <f t="shared" si="18"/>
        <v>4281.2030000000004</v>
      </c>
      <c r="V34" s="428">
        <v>1881.54</v>
      </c>
      <c r="W34" s="79">
        <f>6495.377+384</f>
        <v>6879.3770000000004</v>
      </c>
      <c r="X34" s="79">
        <v>250</v>
      </c>
      <c r="Y34" s="76">
        <f t="shared" si="19"/>
        <v>9010.9170000000013</v>
      </c>
      <c r="Z34" s="76"/>
      <c r="AA34" s="20">
        <f t="shared" si="20"/>
        <v>9010.9170000000013</v>
      </c>
      <c r="AB34" s="21">
        <f t="shared" si="12"/>
        <v>1.1237659163185136</v>
      </c>
      <c r="AC34" s="3"/>
      <c r="AD34" s="3"/>
    </row>
    <row r="35" spans="1:30" x14ac:dyDescent="0.25">
      <c r="A35" s="1"/>
      <c r="B35" s="22" t="s">
        <v>63</v>
      </c>
      <c r="C35" s="81" t="s">
        <v>64</v>
      </c>
      <c r="D35" s="363">
        <v>12</v>
      </c>
      <c r="E35" s="79">
        <v>619.29999999999995</v>
      </c>
      <c r="F35" s="79">
        <v>18.346</v>
      </c>
      <c r="G35" s="76">
        <f t="shared" si="13"/>
        <v>649.64599999999996</v>
      </c>
      <c r="H35" s="76"/>
      <c r="I35" s="423">
        <f t="shared" si="14"/>
        <v>649.64599999999996</v>
      </c>
      <c r="J35" s="426"/>
      <c r="K35" s="427">
        <v>500</v>
      </c>
      <c r="L35" s="427">
        <v>100</v>
      </c>
      <c r="M35" s="361">
        <f>SUM(J35:L35)</f>
        <v>600</v>
      </c>
      <c r="N35" s="361"/>
      <c r="O35" s="333">
        <f t="shared" si="16"/>
        <v>600</v>
      </c>
      <c r="P35" s="82"/>
      <c r="Q35" s="79">
        <v>313.71199999999999</v>
      </c>
      <c r="R35" s="79">
        <v>25.2</v>
      </c>
      <c r="S35" s="76">
        <f t="shared" si="17"/>
        <v>338.91199999999998</v>
      </c>
      <c r="T35" s="76"/>
      <c r="U35" s="20">
        <f t="shared" si="18"/>
        <v>338.91199999999998</v>
      </c>
      <c r="V35" s="82">
        <v>12</v>
      </c>
      <c r="W35" s="79">
        <v>450</v>
      </c>
      <c r="X35" s="79">
        <v>120</v>
      </c>
      <c r="Y35" s="76">
        <f t="shared" si="19"/>
        <v>582</v>
      </c>
      <c r="Z35" s="76"/>
      <c r="AA35" s="20">
        <f t="shared" si="20"/>
        <v>582</v>
      </c>
      <c r="AB35" s="21">
        <f t="shared" si="12"/>
        <v>0.97</v>
      </c>
      <c r="AC35" s="3"/>
      <c r="AD35" s="3"/>
    </row>
    <row r="36" spans="1:30" x14ac:dyDescent="0.25">
      <c r="A36" s="1"/>
      <c r="B36" s="22" t="s">
        <v>65</v>
      </c>
      <c r="C36" s="41" t="s">
        <v>66</v>
      </c>
      <c r="D36" s="429">
        <v>34.137999999999998</v>
      </c>
      <c r="E36" s="79">
        <v>2633.3850000000002</v>
      </c>
      <c r="F36" s="79">
        <f>65.812+23.884</f>
        <v>89.695999999999998</v>
      </c>
      <c r="G36" s="76">
        <f t="shared" si="13"/>
        <v>2757.2190000000001</v>
      </c>
      <c r="H36" s="76"/>
      <c r="I36" s="423">
        <f t="shared" si="14"/>
        <v>2757.2190000000001</v>
      </c>
      <c r="J36" s="426">
        <v>35</v>
      </c>
      <c r="K36" s="427">
        <v>2777.5</v>
      </c>
      <c r="L36" s="427">
        <v>54</v>
      </c>
      <c r="M36" s="361">
        <f t="shared" ref="M36" si="21">SUM(J36:L36)</f>
        <v>2866.5</v>
      </c>
      <c r="N36" s="361"/>
      <c r="O36" s="333">
        <f t="shared" si="16"/>
        <v>2866.5</v>
      </c>
      <c r="P36" s="82"/>
      <c r="Q36" s="79">
        <f>1059.976+384.665+17.777</f>
        <v>1462.4180000000001</v>
      </c>
      <c r="R36" s="79">
        <f>0.992+0.36</f>
        <v>1.3519999999999999</v>
      </c>
      <c r="S36" s="76">
        <f t="shared" si="17"/>
        <v>1463.7700000000002</v>
      </c>
      <c r="T36" s="76"/>
      <c r="U36" s="20">
        <f t="shared" si="18"/>
        <v>1463.7700000000002</v>
      </c>
      <c r="V36" s="80">
        <v>779.94899999999996</v>
      </c>
      <c r="W36" s="79">
        <f>2347.54+126.912</f>
        <v>2474.4519999999998</v>
      </c>
      <c r="X36" s="79">
        <v>84.5</v>
      </c>
      <c r="Y36" s="76">
        <f t="shared" si="19"/>
        <v>3338.9009999999998</v>
      </c>
      <c r="Z36" s="76"/>
      <c r="AA36" s="20">
        <f t="shared" si="20"/>
        <v>3338.9009999999998</v>
      </c>
      <c r="AB36" s="21">
        <f t="shared" si="12"/>
        <v>1.164800627943485</v>
      </c>
      <c r="AC36" s="3"/>
      <c r="AD36" s="3"/>
    </row>
    <row r="37" spans="1:30" x14ac:dyDescent="0.25">
      <c r="A37" s="1"/>
      <c r="B37" s="22" t="s">
        <v>67</v>
      </c>
      <c r="C37" s="41" t="s">
        <v>68</v>
      </c>
      <c r="D37" s="79"/>
      <c r="E37" s="79"/>
      <c r="F37" s="79"/>
      <c r="G37" s="76">
        <f t="shared" si="13"/>
        <v>0</v>
      </c>
      <c r="H37" s="76"/>
      <c r="I37" s="423">
        <f t="shared" si="14"/>
        <v>0</v>
      </c>
      <c r="J37" s="426"/>
      <c r="K37" s="427"/>
      <c r="L37" s="427">
        <v>10</v>
      </c>
      <c r="M37" s="361">
        <f t="shared" si="15"/>
        <v>10</v>
      </c>
      <c r="N37" s="361"/>
      <c r="O37" s="333">
        <f t="shared" si="16"/>
        <v>10</v>
      </c>
      <c r="P37" s="80"/>
      <c r="Q37" s="79"/>
      <c r="R37" s="79"/>
      <c r="S37" s="76">
        <f t="shared" si="17"/>
        <v>0</v>
      </c>
      <c r="T37" s="76"/>
      <c r="U37" s="20">
        <f t="shared" si="18"/>
        <v>0</v>
      </c>
      <c r="V37" s="80"/>
      <c r="W37" s="79"/>
      <c r="X37" s="79"/>
      <c r="Y37" s="76">
        <f t="shared" si="19"/>
        <v>0</v>
      </c>
      <c r="Z37" s="76"/>
      <c r="AA37" s="20">
        <f t="shared" si="20"/>
        <v>0</v>
      </c>
      <c r="AB37" s="21">
        <f t="shared" si="12"/>
        <v>0</v>
      </c>
      <c r="AC37" s="3"/>
      <c r="AD37" s="3"/>
    </row>
    <row r="38" spans="1:30" x14ac:dyDescent="0.25">
      <c r="A38" s="1"/>
      <c r="B38" s="22" t="s">
        <v>69</v>
      </c>
      <c r="C38" s="41" t="s">
        <v>70</v>
      </c>
      <c r="D38" s="79">
        <v>205.3</v>
      </c>
      <c r="E38" s="79"/>
      <c r="F38" s="79">
        <v>452.62</v>
      </c>
      <c r="G38" s="76">
        <f t="shared" si="13"/>
        <v>657.92000000000007</v>
      </c>
      <c r="H38" s="76"/>
      <c r="I38" s="423">
        <f t="shared" si="14"/>
        <v>657.92000000000007</v>
      </c>
      <c r="J38" s="426">
        <v>205.3</v>
      </c>
      <c r="K38" s="427"/>
      <c r="L38" s="427">
        <v>425.6</v>
      </c>
      <c r="M38" s="361">
        <f t="shared" si="15"/>
        <v>630.90000000000009</v>
      </c>
      <c r="N38" s="361"/>
      <c r="O38" s="333">
        <f t="shared" si="16"/>
        <v>630.90000000000009</v>
      </c>
      <c r="P38" s="80">
        <f>80.25+22.416</f>
        <v>102.666</v>
      </c>
      <c r="Q38" s="79"/>
      <c r="R38" s="79">
        <f>2.052+7.98+5.275+56.16+7.338+13.98+41.112+14.855+77.533</f>
        <v>226.28499999999997</v>
      </c>
      <c r="S38" s="76">
        <f t="shared" si="17"/>
        <v>328.95099999999996</v>
      </c>
      <c r="T38" s="76"/>
      <c r="U38" s="20">
        <f t="shared" si="18"/>
        <v>328.95099999999996</v>
      </c>
      <c r="V38" s="80">
        <v>170.6</v>
      </c>
      <c r="W38" s="79"/>
      <c r="X38" s="79">
        <v>328.35599999999999</v>
      </c>
      <c r="Y38" s="76">
        <f t="shared" si="19"/>
        <v>498.95600000000002</v>
      </c>
      <c r="Z38" s="76"/>
      <c r="AA38" s="20">
        <f t="shared" si="20"/>
        <v>498.95600000000002</v>
      </c>
      <c r="AB38" s="21">
        <f t="shared" si="12"/>
        <v>0.79086384530036447</v>
      </c>
      <c r="AC38" s="3"/>
      <c r="AD38" s="3"/>
    </row>
    <row r="39" spans="1:30" ht="15.75" thickBot="1" x14ac:dyDescent="0.3">
      <c r="A39" s="1"/>
      <c r="B39" s="83" t="s">
        <v>71</v>
      </c>
      <c r="C39" s="84" t="s">
        <v>72</v>
      </c>
      <c r="D39" s="85">
        <f>1.01+16.624</f>
        <v>17.634</v>
      </c>
      <c r="E39" s="85">
        <v>426.5</v>
      </c>
      <c r="F39" s="89">
        <v>512.1</v>
      </c>
      <c r="G39" s="76">
        <f t="shared" si="13"/>
        <v>956.23400000000004</v>
      </c>
      <c r="H39" s="87"/>
      <c r="I39" s="430">
        <f t="shared" si="14"/>
        <v>956.23400000000004</v>
      </c>
      <c r="J39" s="431">
        <v>1</v>
      </c>
      <c r="K39" s="432">
        <v>92.3</v>
      </c>
      <c r="L39" s="432">
        <v>607.4</v>
      </c>
      <c r="M39" s="364">
        <f t="shared" si="15"/>
        <v>700.69999999999993</v>
      </c>
      <c r="N39" s="364"/>
      <c r="O39" s="351">
        <f t="shared" si="16"/>
        <v>700.69999999999993</v>
      </c>
      <c r="P39" s="88"/>
      <c r="Q39" s="89">
        <f>0.997+46.072</f>
        <v>47.069000000000003</v>
      </c>
      <c r="R39" s="89">
        <f>67.197+19.995+57.616+0.242+3.666</f>
        <v>148.71599999999998</v>
      </c>
      <c r="S39" s="87">
        <f t="shared" si="17"/>
        <v>195.78499999999997</v>
      </c>
      <c r="T39" s="87"/>
      <c r="U39" s="50">
        <f t="shared" si="18"/>
        <v>195.78499999999997</v>
      </c>
      <c r="V39" s="88">
        <f>18.815+190.572</f>
        <v>209.387</v>
      </c>
      <c r="W39" s="89">
        <v>83.3</v>
      </c>
      <c r="X39" s="89">
        <v>925.3</v>
      </c>
      <c r="Y39" s="87">
        <f t="shared" si="19"/>
        <v>1217.9870000000001</v>
      </c>
      <c r="Z39" s="87"/>
      <c r="AA39" s="50">
        <f t="shared" si="20"/>
        <v>1217.9870000000001</v>
      </c>
      <c r="AB39" s="51">
        <f t="shared" si="12"/>
        <v>1.7382431853860427</v>
      </c>
      <c r="AC39" s="3"/>
      <c r="AD39" s="3"/>
    </row>
    <row r="40" spans="1:30" ht="15.75" thickBot="1" x14ac:dyDescent="0.3">
      <c r="A40" s="1"/>
      <c r="B40" s="52" t="s">
        <v>73</v>
      </c>
      <c r="C40" s="90" t="s">
        <v>74</v>
      </c>
      <c r="D40" s="91">
        <f>SUM(D36:D39)+SUM(D29:D33)</f>
        <v>3370.7089999999998</v>
      </c>
      <c r="E40" s="91">
        <f>SUM(E36:E39)+SUM(E29:E33)</f>
        <v>12743.212</v>
      </c>
      <c r="F40" s="91">
        <f>SUM(F36:F39)+SUM(F29:F33)</f>
        <v>3110.55</v>
      </c>
      <c r="G40" s="92">
        <f>SUM(D40:F40)</f>
        <v>19224.470999999998</v>
      </c>
      <c r="H40" s="93">
        <f>SUM(H29:H33)+SUM(H36:H39)</f>
        <v>62.537999999999997</v>
      </c>
      <c r="I40" s="94">
        <f>SUM(I36:I39)+SUM(I29:I33)</f>
        <v>19287.008999999998</v>
      </c>
      <c r="J40" s="365">
        <f>SUM(J36:J39)+SUM(J29:J33)</f>
        <v>1947</v>
      </c>
      <c r="K40" s="365">
        <f>SUM(K36:K39)+SUM(K29:K33)</f>
        <v>11212.3</v>
      </c>
      <c r="L40" s="365">
        <f>SUM(L36:L39)+SUM(L29:L33)</f>
        <v>2947</v>
      </c>
      <c r="M40" s="366">
        <f>SUM(J40:L40)</f>
        <v>16106.3</v>
      </c>
      <c r="N40" s="367">
        <f>SUM(N29:N33)+SUM(N36:N39)</f>
        <v>350</v>
      </c>
      <c r="O40" s="368">
        <f>SUM(O36:O39)+SUM(O29:O33)</f>
        <v>16456.300000000003</v>
      </c>
      <c r="P40" s="91">
        <f>SUM(P36:P39)+SUM(P29:P33)</f>
        <v>1014.4349999999999</v>
      </c>
      <c r="Q40" s="91">
        <f>SUM(Q36:Q39)+SUM(Q29:Q33)</f>
        <v>6181.7230000000009</v>
      </c>
      <c r="R40" s="91">
        <f>SUM(R36:R39)+SUM(R29:R33)</f>
        <v>1438.5119999999997</v>
      </c>
      <c r="S40" s="92">
        <f>SUM(P40:R40)</f>
        <v>8634.6700000000019</v>
      </c>
      <c r="T40" s="93">
        <f>SUM(T29:T33)+SUM(T36:T39)</f>
        <v>3.8220000000000001</v>
      </c>
      <c r="U40" s="94">
        <f>SUM(U36:U39)+SUM(U29:U33)</f>
        <v>8638.492000000002</v>
      </c>
      <c r="V40" s="91">
        <f>SUM(V36:V39)+SUM(V29:V33)</f>
        <v>4726.8760000000002</v>
      </c>
      <c r="W40" s="91">
        <f>SUM(W36:W39)+SUM(W29:W33)</f>
        <v>9887.1290000000008</v>
      </c>
      <c r="X40" s="91">
        <f>SUM(X36:X39)+SUM(X29:X33)</f>
        <v>3508.1559999999999</v>
      </c>
      <c r="Y40" s="92">
        <f>SUM(V40:X40)+0.1</f>
        <v>18122.260999999999</v>
      </c>
      <c r="Z40" s="93">
        <f>SUM(Z29:Z33)+SUM(Z36:Z39)</f>
        <v>255</v>
      </c>
      <c r="AA40" s="94">
        <f>SUM(AA36:AA39)+SUM(AA29:AA33)</f>
        <v>18377.161</v>
      </c>
      <c r="AB40" s="95">
        <f t="shared" si="12"/>
        <v>1.1167249624763766</v>
      </c>
      <c r="AC40" s="3"/>
      <c r="AD40" s="3"/>
    </row>
    <row r="41" spans="1:30" ht="19.5" thickBot="1" x14ac:dyDescent="0.35">
      <c r="A41" s="1"/>
      <c r="B41" s="96" t="s">
        <v>75</v>
      </c>
      <c r="C41" s="97" t="s">
        <v>76</v>
      </c>
      <c r="D41" s="98">
        <f t="shared" ref="D41:Z41" si="22">D25-D40</f>
        <v>-377.70899999999983</v>
      </c>
      <c r="E41" s="98">
        <f t="shared" si="22"/>
        <v>-4.9999999999272404E-2</v>
      </c>
      <c r="F41" s="98">
        <f t="shared" si="22"/>
        <v>472.12999999999965</v>
      </c>
      <c r="G41" s="99">
        <f t="shared" si="22"/>
        <v>94.371000000002823</v>
      </c>
      <c r="H41" s="99">
        <f t="shared" si="22"/>
        <v>150.51</v>
      </c>
      <c r="I41" s="100">
        <f t="shared" si="22"/>
        <v>244.88100000000122</v>
      </c>
      <c r="J41" s="98">
        <f t="shared" si="22"/>
        <v>0</v>
      </c>
      <c r="K41" s="98">
        <f t="shared" si="22"/>
        <v>0</v>
      </c>
      <c r="L41" s="98">
        <f t="shared" si="22"/>
        <v>0</v>
      </c>
      <c r="M41" s="369">
        <f t="shared" si="22"/>
        <v>0</v>
      </c>
      <c r="N41" s="369">
        <f t="shared" si="22"/>
        <v>0</v>
      </c>
      <c r="O41" s="370">
        <f t="shared" si="22"/>
        <v>0</v>
      </c>
      <c r="P41" s="98">
        <f t="shared" si="22"/>
        <v>27.7650000000001</v>
      </c>
      <c r="Q41" s="98">
        <f t="shared" si="22"/>
        <v>561.23099999999886</v>
      </c>
      <c r="R41" s="98">
        <f t="shared" si="22"/>
        <v>900.01000000000022</v>
      </c>
      <c r="S41" s="99">
        <f t="shared" si="22"/>
        <v>1489.0059999999976</v>
      </c>
      <c r="T41" s="99">
        <f t="shared" si="22"/>
        <v>103.12899999999999</v>
      </c>
      <c r="U41" s="100">
        <f t="shared" si="22"/>
        <v>1592.1349999999984</v>
      </c>
      <c r="V41" s="98">
        <f t="shared" si="22"/>
        <v>0</v>
      </c>
      <c r="W41" s="98">
        <f t="shared" si="22"/>
        <v>2.899999999863212E-2</v>
      </c>
      <c r="X41" s="98">
        <f t="shared" si="22"/>
        <v>4.3999999999869033E-2</v>
      </c>
      <c r="Y41" s="99">
        <f t="shared" si="22"/>
        <v>-2.6999999998224666E-2</v>
      </c>
      <c r="Z41" s="99">
        <f t="shared" si="22"/>
        <v>0</v>
      </c>
      <c r="AA41" s="100">
        <f>AA25-AA40-0.1</f>
        <v>-2.6999999999679863E-2</v>
      </c>
      <c r="AB41" s="104" t="e">
        <f t="shared" si="12"/>
        <v>#DIV/0!</v>
      </c>
      <c r="AC41" s="3"/>
      <c r="AD41" s="3"/>
    </row>
    <row r="42" spans="1:30" ht="15.75" thickBot="1" x14ac:dyDescent="0.3">
      <c r="A42" s="1"/>
      <c r="B42" s="105" t="s">
        <v>77</v>
      </c>
      <c r="C42" s="106" t="s">
        <v>78</v>
      </c>
      <c r="D42" s="107"/>
      <c r="E42" s="108"/>
      <c r="F42" s="108"/>
      <c r="G42" s="109"/>
      <c r="H42" s="110"/>
      <c r="I42" s="111">
        <f>I41-D16</f>
        <v>-1565.1189999999988</v>
      </c>
      <c r="J42" s="107"/>
      <c r="K42" s="108"/>
      <c r="L42" s="108"/>
      <c r="M42" s="109"/>
      <c r="N42" s="113"/>
      <c r="O42" s="111">
        <f>O41-J16</f>
        <v>-1810</v>
      </c>
      <c r="P42" s="107"/>
      <c r="Q42" s="108"/>
      <c r="R42" s="108"/>
      <c r="S42" s="109"/>
      <c r="T42" s="113"/>
      <c r="U42" s="111">
        <f>U41-P16</f>
        <v>686.93499999999835</v>
      </c>
      <c r="V42" s="107"/>
      <c r="W42" s="108"/>
      <c r="X42" s="108"/>
      <c r="Y42" s="109"/>
      <c r="Z42" s="113"/>
      <c r="AA42" s="111">
        <f>AA41-V16</f>
        <v>-1856.0269999999996</v>
      </c>
      <c r="AB42" s="21">
        <f t="shared" si="12"/>
        <v>1.0254292817679556</v>
      </c>
      <c r="AC42" s="3"/>
      <c r="AD42" s="3"/>
    </row>
    <row r="43" spans="1:30" s="121" customFormat="1" ht="8.25" customHeight="1" thickBot="1" x14ac:dyDescent="0.3">
      <c r="A43" s="115"/>
      <c r="B43" s="116"/>
      <c r="C43" s="117"/>
      <c r="D43" s="118"/>
      <c r="E43" s="119"/>
      <c r="F43" s="119"/>
      <c r="G43" s="115"/>
      <c r="H43" s="119"/>
      <c r="I43" s="119"/>
      <c r="J43" s="118"/>
      <c r="K43" s="119"/>
      <c r="L43" s="119"/>
      <c r="M43" s="115"/>
      <c r="N43" s="119"/>
      <c r="O43" s="119"/>
      <c r="P43" s="119"/>
      <c r="Q43" s="119"/>
      <c r="R43" s="119"/>
      <c r="S43" s="119"/>
      <c r="T43" s="119"/>
      <c r="U43" s="119"/>
      <c r="V43" s="120"/>
      <c r="W43" s="120"/>
      <c r="X43" s="120"/>
      <c r="Y43" s="120"/>
      <c r="Z43" s="120"/>
      <c r="AA43" s="120"/>
      <c r="AB43" s="120"/>
      <c r="AC43" s="120"/>
      <c r="AD43" s="120"/>
    </row>
    <row r="44" spans="1:30" s="121" customFormat="1" ht="15.75" customHeight="1" thickBot="1" x14ac:dyDescent="0.3">
      <c r="A44" s="115"/>
      <c r="B44" s="122"/>
      <c r="C44" s="582" t="s">
        <v>79</v>
      </c>
      <c r="D44" s="123" t="s">
        <v>80</v>
      </c>
      <c r="E44" s="124" t="s">
        <v>81</v>
      </c>
      <c r="F44" s="125" t="s">
        <v>82</v>
      </c>
      <c r="G44" s="119"/>
      <c r="H44" s="119"/>
      <c r="I44" s="126"/>
      <c r="J44" s="123" t="s">
        <v>80</v>
      </c>
      <c r="K44" s="124" t="s">
        <v>81</v>
      </c>
      <c r="L44" s="125" t="s">
        <v>82</v>
      </c>
      <c r="M44" s="119"/>
      <c r="N44" s="119"/>
      <c r="O44" s="119"/>
      <c r="P44" s="123" t="s">
        <v>80</v>
      </c>
      <c r="Q44" s="124" t="s">
        <v>81</v>
      </c>
      <c r="R44" s="125" t="s">
        <v>82</v>
      </c>
      <c r="S44" s="120"/>
      <c r="T44" s="120"/>
      <c r="U44" s="120"/>
      <c r="V44" s="123" t="s">
        <v>80</v>
      </c>
      <c r="W44" s="124" t="s">
        <v>81</v>
      </c>
      <c r="X44" s="125" t="s">
        <v>82</v>
      </c>
      <c r="Y44" s="120"/>
      <c r="Z44" s="120"/>
      <c r="AA44" s="120"/>
      <c r="AB44" s="120"/>
      <c r="AC44" s="120"/>
      <c r="AD44" s="120"/>
    </row>
    <row r="45" spans="1:30" ht="15.75" thickBot="1" x14ac:dyDescent="0.3">
      <c r="A45" s="1"/>
      <c r="B45" s="122"/>
      <c r="C45" s="583"/>
      <c r="D45" s="127">
        <v>205.33199999999999</v>
      </c>
      <c r="E45" s="128">
        <v>205.33199999999999</v>
      </c>
      <c r="F45" s="129">
        <v>0</v>
      </c>
      <c r="G45" s="119"/>
      <c r="H45" s="119"/>
      <c r="I45" s="126"/>
      <c r="J45" s="127">
        <v>205.33199999999999</v>
      </c>
      <c r="K45" s="128">
        <v>205.3</v>
      </c>
      <c r="L45" s="129">
        <v>0</v>
      </c>
      <c r="M45" s="130"/>
      <c r="N45" s="130"/>
      <c r="O45" s="130"/>
      <c r="P45" s="127"/>
      <c r="Q45" s="128">
        <v>0</v>
      </c>
      <c r="R45" s="129">
        <v>0</v>
      </c>
      <c r="S45" s="3"/>
      <c r="T45" s="3"/>
      <c r="U45" s="3"/>
      <c r="V45" s="127">
        <v>170.61199999999999</v>
      </c>
      <c r="W45" s="128">
        <v>170.6</v>
      </c>
      <c r="X45" s="129"/>
      <c r="Y45" s="3"/>
      <c r="Z45" s="3"/>
      <c r="AA45" s="3"/>
      <c r="AB45" s="3"/>
      <c r="AC45" s="3"/>
      <c r="AD45" s="3"/>
    </row>
    <row r="46" spans="1:30" s="121" customFormat="1" ht="8.25" customHeight="1" thickBot="1" x14ac:dyDescent="0.3">
      <c r="A46" s="115"/>
      <c r="B46" s="122"/>
      <c r="C46" s="117"/>
      <c r="D46" s="130"/>
      <c r="E46" s="119"/>
      <c r="F46" s="119"/>
      <c r="G46" s="119"/>
      <c r="H46" s="119"/>
      <c r="I46" s="126"/>
      <c r="J46" s="119"/>
      <c r="K46" s="119"/>
      <c r="L46" s="119"/>
      <c r="M46" s="119"/>
      <c r="N46" s="119"/>
      <c r="O46" s="126"/>
      <c r="P46" s="126"/>
      <c r="Q46" s="126"/>
      <c r="R46" s="126"/>
      <c r="S46" s="126"/>
      <c r="T46" s="126"/>
      <c r="U46" s="126"/>
      <c r="V46" s="120"/>
      <c r="W46" s="120"/>
      <c r="X46" s="120"/>
      <c r="Y46" s="120"/>
      <c r="Z46" s="120"/>
      <c r="AA46" s="120"/>
      <c r="AB46" s="120"/>
      <c r="AC46" s="120"/>
      <c r="AD46" s="120"/>
    </row>
    <row r="47" spans="1:30" s="121" customFormat="1" ht="37.5" customHeight="1" thickBot="1" x14ac:dyDescent="0.3">
      <c r="A47" s="115"/>
      <c r="B47" s="122"/>
      <c r="C47" s="582" t="s">
        <v>83</v>
      </c>
      <c r="D47" s="131" t="s">
        <v>84</v>
      </c>
      <c r="E47" s="132" t="s">
        <v>85</v>
      </c>
      <c r="F47" s="119"/>
      <c r="G47" s="119"/>
      <c r="H47" s="119"/>
      <c r="I47" s="126"/>
      <c r="J47" s="131" t="s">
        <v>84</v>
      </c>
      <c r="K47" s="132" t="s">
        <v>85</v>
      </c>
      <c r="L47" s="133"/>
      <c r="M47" s="133"/>
      <c r="N47" s="120"/>
      <c r="O47" s="120"/>
      <c r="P47" s="131" t="s">
        <v>84</v>
      </c>
      <c r="Q47" s="132" t="s">
        <v>85</v>
      </c>
      <c r="R47" s="120"/>
      <c r="S47" s="120"/>
      <c r="T47" s="120"/>
      <c r="U47" s="120"/>
      <c r="V47" s="131" t="s">
        <v>84</v>
      </c>
      <c r="W47" s="132" t="s">
        <v>85</v>
      </c>
      <c r="X47" s="120"/>
      <c r="Y47" s="120"/>
      <c r="Z47" s="120"/>
      <c r="AA47" s="120"/>
      <c r="AB47" s="120"/>
      <c r="AC47" s="120"/>
      <c r="AD47" s="120"/>
    </row>
    <row r="48" spans="1:30" ht="15.75" thickBot="1" x14ac:dyDescent="0.3">
      <c r="A48" s="1"/>
      <c r="B48" s="134"/>
      <c r="C48" s="584"/>
      <c r="D48" s="127">
        <v>0</v>
      </c>
      <c r="E48" s="135">
        <v>0</v>
      </c>
      <c r="F48" s="119"/>
      <c r="G48" s="119"/>
      <c r="H48" s="119"/>
      <c r="I48" s="126"/>
      <c r="J48" s="127">
        <v>0</v>
      </c>
      <c r="K48" s="135">
        <v>0</v>
      </c>
      <c r="L48" s="136"/>
      <c r="M48" s="136"/>
      <c r="N48" s="3"/>
      <c r="O48" s="3"/>
      <c r="P48" s="127">
        <v>0</v>
      </c>
      <c r="Q48" s="135">
        <v>0</v>
      </c>
      <c r="R48" s="3"/>
      <c r="S48" s="3"/>
      <c r="T48" s="3"/>
      <c r="U48" s="3"/>
      <c r="V48" s="127">
        <v>0</v>
      </c>
      <c r="W48" s="135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34"/>
      <c r="C49" s="117"/>
      <c r="D49" s="119"/>
      <c r="E49" s="119"/>
      <c r="F49" s="119"/>
      <c r="G49" s="119"/>
      <c r="H49" s="119"/>
      <c r="I49" s="126"/>
      <c r="J49" s="119"/>
      <c r="K49" s="119"/>
      <c r="L49" s="119"/>
      <c r="M49" s="119"/>
      <c r="N49" s="119"/>
      <c r="O49" s="126"/>
      <c r="P49" s="126"/>
      <c r="Q49" s="126"/>
      <c r="R49" s="126"/>
      <c r="S49" s="126"/>
      <c r="T49" s="126"/>
      <c r="U49" s="126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1"/>
      <c r="B50" s="134"/>
      <c r="C50" s="137" t="s">
        <v>86</v>
      </c>
      <c r="D50" s="138" t="s">
        <v>87</v>
      </c>
      <c r="E50" s="138" t="s">
        <v>88</v>
      </c>
      <c r="F50" s="138" t="s">
        <v>89</v>
      </c>
      <c r="G50" s="138" t="s">
        <v>90</v>
      </c>
      <c r="H50" s="119"/>
      <c r="I50" s="3"/>
      <c r="J50" s="138" t="s">
        <v>87</v>
      </c>
      <c r="K50" s="138" t="s">
        <v>88</v>
      </c>
      <c r="L50" s="138" t="s">
        <v>89</v>
      </c>
      <c r="M50" s="138" t="s">
        <v>91</v>
      </c>
      <c r="N50" s="3"/>
      <c r="O50" s="3"/>
      <c r="P50" s="138" t="s">
        <v>87</v>
      </c>
      <c r="Q50" s="138" t="s">
        <v>88</v>
      </c>
      <c r="R50" s="138" t="s">
        <v>89</v>
      </c>
      <c r="S50" s="138" t="s">
        <v>91</v>
      </c>
      <c r="T50" s="3"/>
      <c r="U50" s="3"/>
      <c r="V50" s="138" t="s">
        <v>92</v>
      </c>
      <c r="W50" s="138" t="s">
        <v>88</v>
      </c>
      <c r="X50" s="138" t="s">
        <v>89</v>
      </c>
      <c r="Y50" s="138" t="s">
        <v>91</v>
      </c>
      <c r="Z50" s="3"/>
      <c r="AA50" s="3"/>
      <c r="AB50" s="3"/>
      <c r="AC50" s="3"/>
      <c r="AD50" s="3"/>
    </row>
    <row r="51" spans="1:30" x14ac:dyDescent="0.25">
      <c r="A51" s="1"/>
      <c r="B51" s="134"/>
      <c r="C51" s="139" t="s">
        <v>93</v>
      </c>
      <c r="D51" s="140">
        <f>SUM(D52:D55)</f>
        <v>4599.3029999999999</v>
      </c>
      <c r="E51" s="140">
        <f t="shared" ref="E51:G51" si="23">SUM(E52:E55)</f>
        <v>712.75900000000001</v>
      </c>
      <c r="F51" s="140">
        <f t="shared" si="23"/>
        <v>1633.9189999999999</v>
      </c>
      <c r="G51" s="140">
        <f t="shared" si="23"/>
        <v>3678.143</v>
      </c>
      <c r="H51" s="119"/>
      <c r="I51" s="3"/>
      <c r="J51" s="141">
        <f>SUM(J52:J55)</f>
        <v>3175.4000000000005</v>
      </c>
      <c r="K51" s="141">
        <f t="shared" ref="K51:M51" si="24">SUM(K52:K55)</f>
        <v>477</v>
      </c>
      <c r="L51" s="141">
        <f t="shared" si="24"/>
        <v>1812.3</v>
      </c>
      <c r="M51" s="141">
        <f t="shared" si="24"/>
        <v>1840.1000000000001</v>
      </c>
      <c r="N51" s="3"/>
      <c r="O51" s="3"/>
      <c r="P51" s="140">
        <f>SUM(P52:P55)</f>
        <v>3678.1440000000002</v>
      </c>
      <c r="Q51" s="140">
        <f t="shared" ref="Q51:R51" si="25">SUM(Q52:Q55)</f>
        <v>439.74200000000002</v>
      </c>
      <c r="R51" s="140">
        <f t="shared" si="25"/>
        <v>1008.136</v>
      </c>
      <c r="S51" s="141">
        <f>P51+Q51-R51</f>
        <v>3109.7500000000005</v>
      </c>
      <c r="T51" s="3"/>
      <c r="U51" s="3"/>
      <c r="V51" s="140">
        <f>SUM(V52:V55)</f>
        <v>1832.3309999999999</v>
      </c>
      <c r="W51" s="140">
        <f t="shared" ref="W51:Y51" si="26">SUM(W52:W55)</f>
        <v>270.36099999999999</v>
      </c>
      <c r="X51" s="140">
        <f t="shared" si="26"/>
        <v>170.61199999999999</v>
      </c>
      <c r="Y51" s="140">
        <f t="shared" si="26"/>
        <v>1932.0800000000002</v>
      </c>
      <c r="Z51" s="3"/>
      <c r="AA51" s="3"/>
      <c r="AB51" s="3"/>
      <c r="AC51" s="3"/>
      <c r="AD51" s="3"/>
    </row>
    <row r="52" spans="1:30" x14ac:dyDescent="0.25">
      <c r="A52" s="1"/>
      <c r="B52" s="134"/>
      <c r="C52" s="139" t="s">
        <v>94</v>
      </c>
      <c r="D52" s="140">
        <f>199.069+3704.519</f>
        <v>3903.5879999999997</v>
      </c>
      <c r="E52" s="140">
        <f>193.892+88.422</f>
        <v>282.31399999999996</v>
      </c>
      <c r="F52" s="140">
        <v>1311.4169999999999</v>
      </c>
      <c r="G52" s="141">
        <f t="shared" ref="G52:G55" si="27">D52+E52-F52</f>
        <v>2874.4850000000001</v>
      </c>
      <c r="H52" s="119"/>
      <c r="I52" s="3"/>
      <c r="J52" s="141">
        <v>2370.4</v>
      </c>
      <c r="K52" s="140">
        <v>100</v>
      </c>
      <c r="L52" s="140">
        <v>1500</v>
      </c>
      <c r="M52" s="141">
        <f t="shared" ref="M52:M55" si="28">J52+K52-L52</f>
        <v>970.40000000000009</v>
      </c>
      <c r="N52" s="3"/>
      <c r="O52" s="3"/>
      <c r="P52" s="140">
        <f>2481.523+392.961</f>
        <v>2874.4840000000004</v>
      </c>
      <c r="Q52" s="140">
        <f>1.5+196.969</f>
        <v>198.46899999999999</v>
      </c>
      <c r="R52" s="140">
        <v>961.63599999999997</v>
      </c>
      <c r="S52" s="141">
        <f t="shared" ref="S52:S55" si="29">P52+Q52-R52</f>
        <v>2111.3170000000005</v>
      </c>
      <c r="T52" s="3"/>
      <c r="U52" s="3"/>
      <c r="V52" s="140">
        <v>970.4</v>
      </c>
      <c r="W52" s="140">
        <v>29.6</v>
      </c>
      <c r="X52" s="140">
        <v>0</v>
      </c>
      <c r="Y52" s="141">
        <f t="shared" ref="Y52:Y55" si="30">V52+W52-X52</f>
        <v>1000</v>
      </c>
      <c r="Z52" s="3"/>
      <c r="AA52" s="3"/>
      <c r="AB52" s="3"/>
      <c r="AC52" s="3"/>
      <c r="AD52" s="3"/>
    </row>
    <row r="53" spans="1:30" x14ac:dyDescent="0.25">
      <c r="A53" s="1"/>
      <c r="B53" s="134"/>
      <c r="C53" s="139" t="s">
        <v>95</v>
      </c>
      <c r="D53" s="140">
        <v>129.666</v>
      </c>
      <c r="E53" s="140">
        <v>300.92500000000001</v>
      </c>
      <c r="F53" s="140">
        <v>205.33199999999999</v>
      </c>
      <c r="G53" s="141">
        <f t="shared" si="27"/>
        <v>225.25900000000001</v>
      </c>
      <c r="H53" s="119"/>
      <c r="I53" s="3"/>
      <c r="J53" s="141">
        <v>225.3</v>
      </c>
      <c r="K53" s="140">
        <v>300</v>
      </c>
      <c r="L53" s="140">
        <v>205.3</v>
      </c>
      <c r="M53" s="141">
        <f t="shared" si="28"/>
        <v>319.99999999999994</v>
      </c>
      <c r="N53" s="3"/>
      <c r="O53" s="3"/>
      <c r="P53" s="140">
        <v>225.26</v>
      </c>
      <c r="Q53" s="140">
        <v>150.46100000000001</v>
      </c>
      <c r="R53" s="140">
        <v>0</v>
      </c>
      <c r="S53" s="141">
        <f t="shared" si="29"/>
        <v>375.721</v>
      </c>
      <c r="T53" s="3"/>
      <c r="U53" s="3"/>
      <c r="V53" s="140">
        <v>312.23099999999999</v>
      </c>
      <c r="W53" s="140">
        <v>240.761</v>
      </c>
      <c r="X53" s="140">
        <v>170.61199999999999</v>
      </c>
      <c r="Y53" s="141">
        <f t="shared" si="30"/>
        <v>382.38</v>
      </c>
      <c r="Z53" s="3"/>
      <c r="AA53" s="3"/>
      <c r="AB53" s="3"/>
      <c r="AC53" s="3"/>
      <c r="AD53" s="3"/>
    </row>
    <row r="54" spans="1:30" x14ac:dyDescent="0.25">
      <c r="A54" s="1"/>
      <c r="B54" s="134"/>
      <c r="C54" s="139" t="s">
        <v>96</v>
      </c>
      <c r="D54" s="140">
        <v>297.92099999999999</v>
      </c>
      <c r="E54" s="140">
        <v>48.47</v>
      </c>
      <c r="F54" s="140">
        <v>0</v>
      </c>
      <c r="G54" s="141">
        <f t="shared" si="27"/>
        <v>346.39099999999996</v>
      </c>
      <c r="H54" s="119"/>
      <c r="I54" s="3"/>
      <c r="J54" s="141">
        <v>346.4</v>
      </c>
      <c r="K54" s="140">
        <v>0</v>
      </c>
      <c r="L54" s="140">
        <v>0</v>
      </c>
      <c r="M54" s="141">
        <f t="shared" si="28"/>
        <v>346.4</v>
      </c>
      <c r="N54" s="3"/>
      <c r="O54" s="3"/>
      <c r="P54" s="140">
        <v>346.392</v>
      </c>
      <c r="Q54" s="140">
        <v>48</v>
      </c>
      <c r="R54" s="140">
        <v>0</v>
      </c>
      <c r="S54" s="141">
        <f t="shared" si="29"/>
        <v>394.392</v>
      </c>
      <c r="T54" s="3"/>
      <c r="U54" s="3"/>
      <c r="V54" s="140">
        <v>346.4</v>
      </c>
      <c r="W54" s="140">
        <v>0</v>
      </c>
      <c r="X54" s="140">
        <v>0</v>
      </c>
      <c r="Y54" s="141">
        <f t="shared" si="30"/>
        <v>346.4</v>
      </c>
      <c r="Z54" s="3"/>
      <c r="AA54" s="3"/>
      <c r="AB54" s="3"/>
      <c r="AC54" s="3"/>
      <c r="AD54" s="3"/>
    </row>
    <row r="55" spans="1:30" x14ac:dyDescent="0.25">
      <c r="A55" s="1"/>
      <c r="B55" s="134"/>
      <c r="C55" s="142" t="s">
        <v>97</v>
      </c>
      <c r="D55" s="140">
        <v>268.12799999999999</v>
      </c>
      <c r="E55" s="140">
        <v>81.05</v>
      </c>
      <c r="F55" s="140">
        <v>117.17</v>
      </c>
      <c r="G55" s="141">
        <f t="shared" si="27"/>
        <v>232.00799999999998</v>
      </c>
      <c r="H55" s="119"/>
      <c r="I55" s="3"/>
      <c r="J55" s="141">
        <v>233.3</v>
      </c>
      <c r="K55" s="140">
        <v>77</v>
      </c>
      <c r="L55" s="140">
        <v>107</v>
      </c>
      <c r="M55" s="141">
        <f t="shared" si="28"/>
        <v>203.3</v>
      </c>
      <c r="N55" s="3"/>
      <c r="O55" s="3"/>
      <c r="P55" s="140">
        <v>232.00800000000001</v>
      </c>
      <c r="Q55" s="140">
        <v>42.811999999999998</v>
      </c>
      <c r="R55" s="140">
        <v>46.5</v>
      </c>
      <c r="S55" s="141">
        <f t="shared" si="29"/>
        <v>228.32</v>
      </c>
      <c r="T55" s="3"/>
      <c r="U55" s="3"/>
      <c r="V55" s="140">
        <v>203.3</v>
      </c>
      <c r="W55" s="140"/>
      <c r="X55" s="140"/>
      <c r="Y55" s="141">
        <f t="shared" si="30"/>
        <v>203.3</v>
      </c>
      <c r="Z55" s="3"/>
      <c r="AA55" s="3"/>
      <c r="AB55" s="3"/>
      <c r="AC55" s="3"/>
      <c r="AD55" s="3"/>
    </row>
    <row r="56" spans="1:30" ht="10.5" customHeight="1" x14ac:dyDescent="0.25">
      <c r="A56" s="1"/>
      <c r="B56" s="134"/>
      <c r="C56" s="117"/>
      <c r="D56" s="119"/>
      <c r="E56" s="119"/>
      <c r="F56" s="119"/>
      <c r="G56" s="119"/>
      <c r="H56" s="11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34"/>
      <c r="C57" s="137" t="s">
        <v>98</v>
      </c>
      <c r="D57" s="138" t="s">
        <v>99</v>
      </c>
      <c r="E57" s="138" t="s">
        <v>100</v>
      </c>
      <c r="F57" s="119"/>
      <c r="G57" s="119"/>
      <c r="H57" s="119"/>
      <c r="I57" s="126"/>
      <c r="J57" s="138" t="s">
        <v>101</v>
      </c>
      <c r="K57" s="119"/>
      <c r="L57" s="119"/>
      <c r="M57" s="119"/>
      <c r="N57" s="119"/>
      <c r="O57" s="126"/>
      <c r="P57" s="138" t="s">
        <v>102</v>
      </c>
      <c r="Q57" s="126"/>
      <c r="R57" s="126"/>
      <c r="S57" s="3"/>
      <c r="T57" s="3"/>
      <c r="U57" s="3"/>
      <c r="V57" s="704" t="s">
        <v>98</v>
      </c>
      <c r="W57" s="704"/>
      <c r="X57" s="704"/>
      <c r="Y57" s="138" t="s">
        <v>101</v>
      </c>
      <c r="Z57" s="3"/>
      <c r="AA57" s="3"/>
      <c r="AB57" s="3"/>
      <c r="AC57" s="3"/>
      <c r="AD57" s="3"/>
    </row>
    <row r="58" spans="1:30" x14ac:dyDescent="0.25">
      <c r="A58" s="1"/>
      <c r="B58" s="134"/>
      <c r="C58" s="371" t="s">
        <v>128</v>
      </c>
      <c r="D58" s="372">
        <v>15.282999999999999</v>
      </c>
      <c r="E58" s="372">
        <v>16.582000000000001</v>
      </c>
      <c r="F58" s="119"/>
      <c r="G58" s="119"/>
      <c r="H58" s="119"/>
      <c r="I58" s="126"/>
      <c r="J58" s="143">
        <v>16</v>
      </c>
      <c r="K58" s="119"/>
      <c r="L58" s="119"/>
      <c r="M58" s="119"/>
      <c r="N58" s="119"/>
      <c r="O58" s="126"/>
      <c r="P58" s="143">
        <v>17.010999999999999</v>
      </c>
      <c r="Q58" s="126"/>
      <c r="R58" s="126"/>
      <c r="S58" s="3"/>
      <c r="T58" s="3"/>
      <c r="U58" s="3"/>
      <c r="V58" s="698" t="s">
        <v>128</v>
      </c>
      <c r="W58" s="698"/>
      <c r="X58" s="698"/>
      <c r="Y58" s="143">
        <v>16</v>
      </c>
      <c r="Z58" s="3"/>
      <c r="AA58" s="3"/>
      <c r="AB58" s="3"/>
      <c r="AC58" s="3"/>
      <c r="AD58" s="3"/>
    </row>
    <row r="59" spans="1:30" ht="17.25" customHeight="1" x14ac:dyDescent="0.25">
      <c r="A59" s="1"/>
      <c r="B59" s="134"/>
      <c r="C59" s="373"/>
      <c r="D59" s="374"/>
      <c r="E59" s="374"/>
      <c r="F59" s="119"/>
      <c r="G59" s="119"/>
      <c r="H59" s="119"/>
      <c r="I59" s="126"/>
      <c r="J59" s="130"/>
      <c r="K59" s="119"/>
      <c r="L59" s="119"/>
      <c r="M59" s="119"/>
      <c r="N59" s="119"/>
      <c r="O59" s="126"/>
      <c r="P59" s="130"/>
      <c r="Q59" s="126"/>
      <c r="R59" s="126"/>
      <c r="S59" s="3"/>
      <c r="T59" s="3"/>
      <c r="U59" s="3"/>
      <c r="V59" s="698" t="s">
        <v>129</v>
      </c>
      <c r="W59" s="698"/>
      <c r="X59" s="698"/>
      <c r="Y59" s="143">
        <v>5</v>
      </c>
      <c r="Z59" s="3"/>
      <c r="AA59" s="3"/>
      <c r="AB59" s="3"/>
      <c r="AC59" s="3"/>
      <c r="AD59" s="3"/>
    </row>
    <row r="60" spans="1:30" ht="17.25" customHeight="1" x14ac:dyDescent="0.25">
      <c r="A60" s="1"/>
      <c r="B60" s="134"/>
      <c r="C60" s="373"/>
      <c r="D60" s="374"/>
      <c r="E60" s="374"/>
      <c r="F60" s="119"/>
      <c r="G60" s="119"/>
      <c r="H60" s="119"/>
      <c r="I60" s="126"/>
      <c r="J60" s="130"/>
      <c r="K60" s="119"/>
      <c r="L60" s="119"/>
      <c r="M60" s="119"/>
      <c r="N60" s="119"/>
      <c r="O60" s="126"/>
      <c r="P60" s="130"/>
      <c r="Q60" s="126"/>
      <c r="R60" s="126"/>
      <c r="S60" s="3"/>
      <c r="T60" s="3"/>
      <c r="U60" s="3"/>
      <c r="V60" s="433"/>
      <c r="W60" s="433"/>
      <c r="X60" s="433"/>
      <c r="Y60" s="434"/>
      <c r="Z60" s="3"/>
      <c r="AA60" s="3"/>
      <c r="AB60" s="3"/>
      <c r="AC60" s="3"/>
      <c r="AD60" s="3"/>
    </row>
    <row r="61" spans="1:30" ht="17.25" customHeight="1" x14ac:dyDescent="0.25">
      <c r="A61" s="1"/>
      <c r="B61" s="134"/>
      <c r="C61" s="373"/>
      <c r="D61" s="374"/>
      <c r="E61" s="374"/>
      <c r="F61" s="119"/>
      <c r="G61" s="119"/>
      <c r="H61" s="119"/>
      <c r="I61" s="126"/>
      <c r="J61" s="130"/>
      <c r="K61" s="119"/>
      <c r="L61" s="119"/>
      <c r="M61" s="119"/>
      <c r="N61" s="119"/>
      <c r="O61" s="126"/>
      <c r="P61" s="130"/>
      <c r="Q61" s="126"/>
      <c r="R61" s="126"/>
      <c r="S61" s="3"/>
      <c r="T61" s="3"/>
      <c r="U61" s="3"/>
      <c r="V61" s="435" t="s">
        <v>130</v>
      </c>
      <c r="W61" s="435"/>
      <c r="X61" s="435"/>
      <c r="Y61" s="436">
        <v>1881.6</v>
      </c>
      <c r="Z61" s="3"/>
      <c r="AA61" s="3"/>
      <c r="AB61" s="3"/>
      <c r="AC61" s="3"/>
      <c r="AD61" s="3"/>
    </row>
    <row r="62" spans="1:30" ht="17.25" customHeight="1" x14ac:dyDescent="0.25">
      <c r="A62" s="1"/>
      <c r="B62" s="134"/>
      <c r="C62" s="373"/>
      <c r="D62" s="374"/>
      <c r="E62" s="374"/>
      <c r="F62" s="119"/>
      <c r="G62" s="119"/>
      <c r="H62" s="119"/>
      <c r="I62" s="126"/>
      <c r="J62" s="130"/>
      <c r="K62" s="119"/>
      <c r="L62" s="119"/>
      <c r="M62" s="119"/>
      <c r="N62" s="119"/>
      <c r="O62" s="126"/>
      <c r="P62" s="130"/>
      <c r="Q62" s="126"/>
      <c r="R62" s="126"/>
      <c r="S62" s="3"/>
      <c r="T62" s="3"/>
      <c r="U62" s="3"/>
      <c r="V62" s="435" t="s">
        <v>167</v>
      </c>
      <c r="W62" s="435"/>
      <c r="X62" s="435"/>
      <c r="Y62" s="436">
        <v>400</v>
      </c>
      <c r="Z62" s="3"/>
      <c r="AA62" s="3"/>
      <c r="AB62" s="3"/>
      <c r="AC62" s="3"/>
      <c r="AD62" s="3"/>
    </row>
    <row r="63" spans="1:30" ht="17.25" customHeight="1" x14ac:dyDescent="0.25">
      <c r="A63" s="1"/>
      <c r="B63" s="134"/>
      <c r="C63" s="373"/>
      <c r="D63" s="374"/>
      <c r="E63" s="374"/>
      <c r="F63" s="119"/>
      <c r="G63" s="119"/>
      <c r="H63" s="119"/>
      <c r="I63" s="126"/>
      <c r="J63" s="130"/>
      <c r="K63" s="119"/>
      <c r="L63" s="119"/>
      <c r="M63" s="119"/>
      <c r="N63" s="119"/>
      <c r="O63" s="126"/>
      <c r="P63" s="130"/>
      <c r="Q63" s="126"/>
      <c r="R63" s="126"/>
      <c r="S63" s="3"/>
      <c r="T63" s="3"/>
      <c r="U63" s="3"/>
      <c r="V63" s="724" t="s">
        <v>168</v>
      </c>
      <c r="W63" s="725"/>
      <c r="X63" s="726"/>
      <c r="Y63" s="436">
        <f>SUM(Y61:Y62)</f>
        <v>2281.6</v>
      </c>
      <c r="Z63" s="3"/>
      <c r="AA63" s="3"/>
      <c r="AB63" s="3"/>
      <c r="AC63" s="3"/>
      <c r="AD63" s="3"/>
    </row>
    <row r="64" spans="1:30" ht="17.25" customHeight="1" x14ac:dyDescent="0.25">
      <c r="A64" s="1"/>
      <c r="B64" s="134"/>
      <c r="C64" s="373"/>
      <c r="D64" s="374"/>
      <c r="E64" s="374"/>
      <c r="F64" s="119"/>
      <c r="G64" s="119"/>
      <c r="H64" s="119"/>
      <c r="I64" s="126"/>
      <c r="J64" s="130"/>
      <c r="K64" s="119"/>
      <c r="L64" s="119"/>
      <c r="M64" s="119"/>
      <c r="N64" s="119"/>
      <c r="O64" s="126"/>
      <c r="P64" s="130"/>
      <c r="Q64" s="126"/>
      <c r="R64" s="126"/>
      <c r="S64" s="3"/>
      <c r="T64" s="3"/>
      <c r="U64" s="3"/>
      <c r="V64" s="437"/>
      <c r="W64" s="437"/>
      <c r="X64" s="437"/>
      <c r="Y64" s="130"/>
      <c r="Z64" s="3"/>
      <c r="AA64" s="3"/>
      <c r="AB64" s="3"/>
      <c r="AC64" s="3"/>
      <c r="AD64" s="3"/>
    </row>
    <row r="65" spans="1:30" ht="17.25" customHeight="1" x14ac:dyDescent="0.25">
      <c r="A65" s="1"/>
      <c r="B65" s="134"/>
      <c r="C65" s="373"/>
      <c r="D65" s="374"/>
      <c r="E65" s="374"/>
      <c r="F65" s="119"/>
      <c r="G65" s="119"/>
      <c r="H65" s="119"/>
      <c r="I65" s="126"/>
      <c r="J65" s="130"/>
      <c r="K65" s="119"/>
      <c r="L65" s="119"/>
      <c r="M65" s="119"/>
      <c r="N65" s="119"/>
      <c r="O65" s="126"/>
      <c r="P65" s="130"/>
      <c r="Q65" s="126"/>
      <c r="R65" s="126"/>
      <c r="S65" s="3"/>
      <c r="T65" s="3"/>
      <c r="U65" s="438" t="s">
        <v>131</v>
      </c>
      <c r="V65" s="439"/>
      <c r="W65" s="439"/>
      <c r="X65" s="439"/>
      <c r="Y65" s="380" t="s">
        <v>132</v>
      </c>
      <c r="Z65" s="3"/>
      <c r="AA65" s="379" t="s">
        <v>133</v>
      </c>
      <c r="AB65" s="379"/>
      <c r="AC65" s="3"/>
      <c r="AD65" s="3"/>
    </row>
    <row r="66" spans="1:30" ht="17.25" customHeight="1" x14ac:dyDescent="0.25">
      <c r="A66" s="1"/>
      <c r="B66" s="134"/>
      <c r="C66" s="373"/>
      <c r="D66" s="374"/>
      <c r="E66" s="374"/>
      <c r="F66" s="119"/>
      <c r="G66" s="119"/>
      <c r="H66" s="119"/>
      <c r="I66" s="126"/>
      <c r="J66" s="130"/>
      <c r="K66" s="119"/>
      <c r="L66" s="119"/>
      <c r="M66" s="119"/>
      <c r="N66" s="119"/>
      <c r="O66" s="126"/>
      <c r="P66" s="130"/>
      <c r="Q66" s="126"/>
      <c r="R66" s="126"/>
      <c r="S66" s="3"/>
      <c r="T66" s="3"/>
      <c r="U66" s="719" t="s">
        <v>134</v>
      </c>
      <c r="V66" s="720"/>
      <c r="W66" s="720"/>
      <c r="X66" s="721"/>
      <c r="Y66" s="436">
        <v>1881540</v>
      </c>
      <c r="Z66" s="3"/>
      <c r="AA66" s="440" t="s">
        <v>135</v>
      </c>
      <c r="AB66" s="441">
        <v>117600</v>
      </c>
      <c r="AC66" s="3"/>
      <c r="AD66" s="3"/>
    </row>
    <row r="67" spans="1:30" ht="17.25" customHeight="1" x14ac:dyDescent="0.25">
      <c r="A67" s="1"/>
      <c r="B67" s="134"/>
      <c r="C67" s="373"/>
      <c r="D67" s="374"/>
      <c r="E67" s="374"/>
      <c r="F67" s="119"/>
      <c r="G67" s="119"/>
      <c r="H67" s="119"/>
      <c r="I67" s="126"/>
      <c r="J67" s="130"/>
      <c r="K67" s="119"/>
      <c r="L67" s="119"/>
      <c r="M67" s="119"/>
      <c r="N67" s="119"/>
      <c r="O67" s="126"/>
      <c r="P67" s="130"/>
      <c r="Q67" s="126"/>
      <c r="R67" s="126"/>
      <c r="S67" s="3"/>
      <c r="T67" s="3"/>
      <c r="U67" s="719" t="s">
        <v>136</v>
      </c>
      <c r="V67" s="720"/>
      <c r="W67" s="720"/>
      <c r="X67" s="721"/>
      <c r="Y67" s="436">
        <v>779949</v>
      </c>
      <c r="Z67" s="3"/>
      <c r="AA67" s="440" t="s">
        <v>137</v>
      </c>
      <c r="AB67" s="441">
        <v>72000</v>
      </c>
      <c r="AC67" s="3"/>
      <c r="AD67" s="3"/>
    </row>
    <row r="68" spans="1:30" ht="17.25" customHeight="1" x14ac:dyDescent="0.25">
      <c r="A68" s="1"/>
      <c r="B68" s="134"/>
      <c r="C68" s="373"/>
      <c r="D68" s="374"/>
      <c r="E68" s="374"/>
      <c r="F68" s="119"/>
      <c r="G68" s="119"/>
      <c r="H68" s="119"/>
      <c r="I68" s="126"/>
      <c r="J68" s="130"/>
      <c r="K68" s="119"/>
      <c r="L68" s="119"/>
      <c r="M68" s="119"/>
      <c r="N68" s="119"/>
      <c r="O68" s="126"/>
      <c r="P68" s="130"/>
      <c r="Q68" s="126"/>
      <c r="R68" s="126"/>
      <c r="S68" s="3"/>
      <c r="T68" s="3"/>
      <c r="U68" s="719" t="s">
        <v>169</v>
      </c>
      <c r="V68" s="720"/>
      <c r="W68" s="720"/>
      <c r="X68" s="721"/>
      <c r="Y68" s="436">
        <v>0</v>
      </c>
      <c r="Z68" s="3"/>
      <c r="AA68" s="440" t="s">
        <v>139</v>
      </c>
      <c r="AB68" s="441">
        <v>144000</v>
      </c>
      <c r="AC68" s="3"/>
      <c r="AD68" s="3"/>
    </row>
    <row r="69" spans="1:30" ht="17.25" customHeight="1" x14ac:dyDescent="0.25">
      <c r="A69" s="1"/>
      <c r="B69" s="134"/>
      <c r="C69" s="373"/>
      <c r="D69" s="374"/>
      <c r="E69" s="374"/>
      <c r="F69" s="119"/>
      <c r="G69" s="119"/>
      <c r="H69" s="119"/>
      <c r="I69" s="126"/>
      <c r="J69" s="130"/>
      <c r="K69" s="119"/>
      <c r="L69" s="119"/>
      <c r="M69" s="119"/>
      <c r="N69" s="119"/>
      <c r="O69" s="126"/>
      <c r="P69" s="130"/>
      <c r="Q69" s="126"/>
      <c r="R69" s="126"/>
      <c r="S69" s="3"/>
      <c r="T69" s="3"/>
      <c r="U69" s="719" t="s">
        <v>140</v>
      </c>
      <c r="V69" s="720"/>
      <c r="W69" s="720"/>
      <c r="X69" s="721"/>
      <c r="Y69" s="436">
        <v>18815</v>
      </c>
      <c r="Z69" s="3"/>
      <c r="AA69" s="3"/>
      <c r="AB69" s="442"/>
      <c r="AC69" s="3"/>
      <c r="AD69" s="3"/>
    </row>
    <row r="70" spans="1:30" ht="17.25" customHeight="1" x14ac:dyDescent="0.25">
      <c r="A70" s="1"/>
      <c r="B70" s="134"/>
      <c r="C70" s="373"/>
      <c r="D70" s="374"/>
      <c r="E70" s="374"/>
      <c r="F70" s="119"/>
      <c r="G70" s="119"/>
      <c r="H70" s="119"/>
      <c r="I70" s="126"/>
      <c r="J70" s="130"/>
      <c r="K70" s="119"/>
      <c r="L70" s="119"/>
      <c r="M70" s="119"/>
      <c r="N70" s="119"/>
      <c r="O70" s="126"/>
      <c r="P70" s="130"/>
      <c r="Q70" s="126"/>
      <c r="R70" s="126"/>
      <c r="S70" s="3"/>
      <c r="T70" s="3"/>
      <c r="U70" s="719" t="s">
        <v>141</v>
      </c>
      <c r="V70" s="720"/>
      <c r="W70" s="720"/>
      <c r="X70" s="721"/>
      <c r="Y70" s="436">
        <v>190572</v>
      </c>
      <c r="Z70" s="3"/>
      <c r="AA70" s="3"/>
      <c r="AB70" s="3"/>
      <c r="AC70" s="3"/>
      <c r="AD70" s="3"/>
    </row>
    <row r="71" spans="1:30" ht="17.25" customHeight="1" x14ac:dyDescent="0.25">
      <c r="A71" s="1"/>
      <c r="B71" s="134"/>
      <c r="C71" s="373"/>
      <c r="D71" s="374"/>
      <c r="E71" s="374"/>
      <c r="F71" s="119"/>
      <c r="G71" s="119"/>
      <c r="H71" s="119"/>
      <c r="I71" s="126"/>
      <c r="J71" s="130"/>
      <c r="K71" s="119"/>
      <c r="L71" s="119"/>
      <c r="M71" s="119"/>
      <c r="N71" s="119"/>
      <c r="O71" s="126"/>
      <c r="P71" s="130"/>
      <c r="Q71" s="126"/>
      <c r="R71" s="126"/>
      <c r="S71" s="3"/>
      <c r="T71" s="3"/>
      <c r="U71" s="440" t="s">
        <v>142</v>
      </c>
      <c r="V71" s="435"/>
      <c r="W71" s="435"/>
      <c r="X71" s="435"/>
      <c r="Y71" s="436">
        <v>0</v>
      </c>
      <c r="Z71" s="3"/>
      <c r="AA71" s="3"/>
      <c r="AB71" s="3"/>
      <c r="AC71" s="3"/>
      <c r="AD71" s="3"/>
    </row>
    <row r="72" spans="1:30" ht="17.25" customHeight="1" x14ac:dyDescent="0.25">
      <c r="A72" s="1"/>
      <c r="B72" s="134"/>
      <c r="C72" s="373"/>
      <c r="D72" s="374"/>
      <c r="E72" s="374"/>
      <c r="F72" s="119"/>
      <c r="G72" s="119"/>
      <c r="H72" s="119"/>
      <c r="I72" s="126"/>
      <c r="J72" s="130"/>
      <c r="K72" s="119"/>
      <c r="L72" s="119"/>
      <c r="M72" s="119"/>
      <c r="N72" s="119"/>
      <c r="O72" s="126"/>
      <c r="P72" s="130"/>
      <c r="Q72" s="126"/>
      <c r="R72" s="126"/>
      <c r="S72" s="3"/>
      <c r="T72" s="3"/>
      <c r="U72" s="440" t="s">
        <v>143</v>
      </c>
      <c r="V72" s="435"/>
      <c r="W72" s="435"/>
      <c r="X72" s="435"/>
      <c r="Y72" s="436">
        <v>0</v>
      </c>
      <c r="Z72" s="3"/>
      <c r="AA72" s="3"/>
      <c r="AB72" s="3"/>
      <c r="AC72" s="3"/>
      <c r="AD72" s="3"/>
    </row>
    <row r="73" spans="1:30" ht="17.25" customHeight="1" x14ac:dyDescent="0.25">
      <c r="A73" s="1"/>
      <c r="B73" s="134"/>
      <c r="C73" s="373"/>
      <c r="D73" s="374"/>
      <c r="E73" s="374"/>
      <c r="F73" s="119"/>
      <c r="G73" s="119"/>
      <c r="H73" s="119"/>
      <c r="I73" s="126"/>
      <c r="J73" s="130"/>
      <c r="K73" s="119"/>
      <c r="L73" s="119"/>
      <c r="M73" s="119"/>
      <c r="N73" s="119"/>
      <c r="O73" s="126"/>
      <c r="P73" s="130"/>
      <c r="Q73" s="126"/>
      <c r="R73" s="126"/>
      <c r="S73" s="3"/>
      <c r="T73" s="3"/>
      <c r="U73" s="440" t="s">
        <v>144</v>
      </c>
      <c r="V73" s="435"/>
      <c r="W73" s="435"/>
      <c r="X73" s="435"/>
      <c r="Y73" s="436">
        <v>0</v>
      </c>
      <c r="Z73" s="3"/>
      <c r="AA73" s="3"/>
      <c r="AB73" s="3"/>
      <c r="AC73" s="3"/>
      <c r="AD73" s="3"/>
    </row>
    <row r="74" spans="1:30" ht="17.25" customHeight="1" x14ac:dyDescent="0.25">
      <c r="A74" s="1"/>
      <c r="B74" s="134"/>
      <c r="C74" s="373"/>
      <c r="D74" s="374"/>
      <c r="E74" s="374"/>
      <c r="F74" s="119"/>
      <c r="G74" s="119"/>
      <c r="H74" s="119"/>
      <c r="I74" s="126"/>
      <c r="J74" s="130"/>
      <c r="K74" s="119"/>
      <c r="L74" s="119"/>
      <c r="M74" s="119"/>
      <c r="N74" s="119"/>
      <c r="O74" s="126"/>
      <c r="P74" s="130"/>
      <c r="Q74" s="126"/>
      <c r="R74" s="126"/>
      <c r="S74" s="3"/>
      <c r="T74" s="3"/>
      <c r="U74" s="719" t="s">
        <v>145</v>
      </c>
      <c r="V74" s="720"/>
      <c r="W74" s="720"/>
      <c r="X74" s="721"/>
      <c r="Y74" s="436">
        <v>190572</v>
      </c>
      <c r="Z74" s="3"/>
      <c r="AA74" s="3"/>
      <c r="AB74" s="3"/>
      <c r="AC74" s="3"/>
      <c r="AD74" s="3"/>
    </row>
    <row r="75" spans="1:30" s="3" customFormat="1" x14ac:dyDescent="0.25">
      <c r="A75" s="1"/>
      <c r="B75" s="134"/>
      <c r="C75" s="117"/>
      <c r="D75" s="130"/>
      <c r="E75" s="130"/>
      <c r="F75" s="119"/>
      <c r="G75" s="119"/>
      <c r="H75" s="119"/>
      <c r="I75" s="126"/>
      <c r="J75" s="130"/>
      <c r="K75" s="119"/>
      <c r="L75" s="119"/>
      <c r="M75" s="119"/>
      <c r="N75" s="119"/>
      <c r="O75" s="126"/>
      <c r="P75" s="130"/>
      <c r="Q75" s="126"/>
      <c r="R75" s="126"/>
      <c r="S75" s="126"/>
      <c r="T75" s="126"/>
      <c r="U75" s="126"/>
      <c r="V75" s="130"/>
      <c r="Y75" s="442">
        <v>2870876</v>
      </c>
    </row>
    <row r="76" spans="1:30" x14ac:dyDescent="0.25">
      <c r="A76" s="1"/>
      <c r="B76" s="134"/>
      <c r="C76" s="117"/>
      <c r="D76" s="119"/>
      <c r="E76" s="119"/>
      <c r="F76" s="119"/>
      <c r="G76" s="119"/>
      <c r="H76" s="119"/>
      <c r="I76" s="126"/>
      <c r="J76" s="119"/>
      <c r="K76" s="119"/>
      <c r="L76" s="119"/>
      <c r="M76" s="119"/>
      <c r="N76" s="119"/>
      <c r="O76" s="126"/>
      <c r="P76" s="119"/>
      <c r="Q76" s="119"/>
      <c r="R76" s="119"/>
      <c r="S76" s="126"/>
      <c r="T76" s="126"/>
      <c r="U76" s="126"/>
      <c r="V76" s="119"/>
      <c r="W76" s="119"/>
      <c r="X76" s="119"/>
      <c r="Y76" s="3"/>
      <c r="Z76" s="3"/>
      <c r="AA76" s="3"/>
      <c r="AB76" s="3"/>
      <c r="AC76" s="3"/>
      <c r="AD76" s="3"/>
    </row>
    <row r="77" spans="1:30" x14ac:dyDescent="0.25">
      <c r="A77" s="1"/>
      <c r="B77" s="144" t="s">
        <v>103</v>
      </c>
      <c r="C77" s="145"/>
      <c r="D77" s="585"/>
      <c r="E77" s="585"/>
      <c r="F77" s="585"/>
      <c r="G77" s="585"/>
      <c r="H77" s="585"/>
      <c r="I77" s="585"/>
      <c r="J77" s="585"/>
      <c r="K77" s="585"/>
      <c r="L77" s="585"/>
      <c r="M77" s="585"/>
      <c r="N77" s="585"/>
      <c r="O77" s="585"/>
      <c r="P77" s="585"/>
      <c r="Q77" s="585"/>
      <c r="R77" s="585"/>
      <c r="S77" s="585"/>
      <c r="T77" s="585"/>
      <c r="U77" s="585"/>
      <c r="V77" s="146"/>
      <c r="W77" s="146"/>
      <c r="X77" s="146"/>
      <c r="Y77" s="146"/>
      <c r="Z77" s="146"/>
      <c r="AA77" s="146"/>
      <c r="AB77" s="147"/>
      <c r="AC77" s="3"/>
      <c r="AD77" s="3"/>
    </row>
    <row r="78" spans="1:30" x14ac:dyDescent="0.25">
      <c r="A78" s="1"/>
      <c r="B78" s="148" t="s">
        <v>170</v>
      </c>
      <c r="C78" s="121"/>
      <c r="D78" s="121"/>
      <c r="E78" s="121"/>
      <c r="F78" s="121"/>
      <c r="G78" s="121"/>
      <c r="H78" s="121"/>
      <c r="I78" s="121" t="s">
        <v>171</v>
      </c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49"/>
      <c r="AC78" s="3"/>
      <c r="AD78" s="3"/>
    </row>
    <row r="79" spans="1:30" x14ac:dyDescent="0.25">
      <c r="A79" s="1"/>
      <c r="B79" s="443" t="s">
        <v>172</v>
      </c>
      <c r="C79" s="444"/>
      <c r="D79" s="445"/>
      <c r="E79" s="446"/>
      <c r="F79" s="446"/>
      <c r="G79" s="446"/>
      <c r="H79" s="446"/>
      <c r="I79" s="447" t="s">
        <v>173</v>
      </c>
      <c r="J79" s="446"/>
      <c r="K79" s="446"/>
      <c r="L79" s="446"/>
      <c r="M79" s="446"/>
      <c r="N79" s="446"/>
      <c r="O79" s="446"/>
      <c r="P79" s="446"/>
      <c r="Q79" s="446"/>
      <c r="R79" s="446"/>
      <c r="S79" s="446"/>
      <c r="T79" s="446"/>
      <c r="U79" s="446"/>
      <c r="V79" s="121"/>
      <c r="W79" s="121"/>
      <c r="X79" s="121"/>
      <c r="Y79" s="121"/>
      <c r="Z79" s="121"/>
      <c r="AA79" s="121"/>
      <c r="AB79" s="149"/>
      <c r="AC79" s="3"/>
      <c r="AD79" s="3"/>
    </row>
    <row r="80" spans="1:30" x14ac:dyDescent="0.25">
      <c r="A80" s="1"/>
      <c r="B80" s="722" t="s">
        <v>174</v>
      </c>
      <c r="C80" s="723"/>
      <c r="D80" s="723"/>
      <c r="E80" s="723"/>
      <c r="F80" s="723"/>
      <c r="G80" s="723"/>
      <c r="H80" s="723"/>
      <c r="I80" s="723"/>
      <c r="J80" s="723"/>
      <c r="K80" s="723"/>
      <c r="L80" s="723"/>
      <c r="M80" s="723"/>
      <c r="N80" s="723"/>
      <c r="O80" s="723"/>
      <c r="P80" s="723"/>
      <c r="Q80" s="723"/>
      <c r="R80" s="723"/>
      <c r="S80" s="723"/>
      <c r="T80" s="723"/>
      <c r="U80" s="723"/>
      <c r="V80" s="121"/>
      <c r="W80" s="121"/>
      <c r="X80" s="121"/>
      <c r="Y80" s="121"/>
      <c r="Z80" s="121"/>
      <c r="AA80" s="121"/>
      <c r="AB80" s="149"/>
      <c r="AC80" s="3"/>
      <c r="AD80" s="3"/>
    </row>
    <row r="81" spans="1:30" x14ac:dyDescent="0.25">
      <c r="A81" s="1"/>
      <c r="B81" s="722" t="s">
        <v>175</v>
      </c>
      <c r="C81" s="723"/>
      <c r="D81" s="723"/>
      <c r="E81" s="723"/>
      <c r="F81" s="723"/>
      <c r="G81" s="723"/>
      <c r="H81" s="723"/>
      <c r="I81" s="723"/>
      <c r="J81" s="723"/>
      <c r="K81" s="723"/>
      <c r="L81" s="723"/>
      <c r="M81" s="723"/>
      <c r="N81" s="723"/>
      <c r="O81" s="723"/>
      <c r="P81" s="723"/>
      <c r="Q81" s="723"/>
      <c r="R81" s="723"/>
      <c r="S81" s="723"/>
      <c r="T81" s="723"/>
      <c r="U81" s="723"/>
      <c r="V81" s="121"/>
      <c r="W81" s="121"/>
      <c r="X81" s="121"/>
      <c r="Y81" s="121"/>
      <c r="Z81" s="121"/>
      <c r="AA81" s="121"/>
      <c r="AB81" s="149"/>
      <c r="AC81" s="3"/>
      <c r="AD81" s="3"/>
    </row>
    <row r="82" spans="1:30" x14ac:dyDescent="0.25">
      <c r="A82" s="1"/>
      <c r="B82" s="448" t="s">
        <v>176</v>
      </c>
      <c r="C82" s="449"/>
      <c r="D82" s="449"/>
      <c r="E82" s="450"/>
      <c r="F82" s="450"/>
      <c r="G82" s="450"/>
      <c r="H82" s="450"/>
      <c r="I82" s="450"/>
      <c r="J82" s="450"/>
      <c r="K82" s="450"/>
      <c r="L82" s="450"/>
      <c r="M82" s="450"/>
      <c r="N82" s="450"/>
      <c r="O82" s="450"/>
      <c r="P82" s="450"/>
      <c r="Q82" s="450"/>
      <c r="R82" s="450"/>
      <c r="S82" s="450"/>
      <c r="T82" s="450"/>
      <c r="U82" s="450"/>
      <c r="V82" s="121"/>
      <c r="W82" s="121"/>
      <c r="X82" s="121"/>
      <c r="Y82" s="121"/>
      <c r="Z82" s="121"/>
      <c r="AA82" s="121"/>
      <c r="AB82" s="149"/>
      <c r="AC82" s="3"/>
      <c r="AD82" s="3"/>
    </row>
    <row r="83" spans="1:30" x14ac:dyDescent="0.25">
      <c r="A83" s="1"/>
      <c r="B83" s="451" t="s">
        <v>177</v>
      </c>
      <c r="C83" s="452"/>
      <c r="D83" s="452"/>
      <c r="E83" s="450"/>
      <c r="F83" s="450"/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50"/>
      <c r="R83" s="450"/>
      <c r="S83" s="450"/>
      <c r="T83" s="450"/>
      <c r="U83" s="450"/>
      <c r="V83" s="121"/>
      <c r="W83" s="121"/>
      <c r="X83" s="121"/>
      <c r="Y83" s="121"/>
      <c r="Z83" s="121"/>
      <c r="AA83" s="121"/>
      <c r="AB83" s="149"/>
      <c r="AC83" s="3"/>
      <c r="AD83" s="3"/>
    </row>
    <row r="84" spans="1:30" x14ac:dyDescent="0.25">
      <c r="A84" s="1"/>
      <c r="B84" s="453" t="s">
        <v>178</v>
      </c>
      <c r="C84" s="450"/>
      <c r="D84" s="450"/>
      <c r="E84" s="450"/>
      <c r="F84" s="450"/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50"/>
      <c r="R84" s="450"/>
      <c r="S84" s="450"/>
      <c r="T84" s="450"/>
      <c r="U84" s="450"/>
      <c r="V84" s="121"/>
      <c r="W84" s="121"/>
      <c r="X84" s="121"/>
      <c r="Y84" s="121"/>
      <c r="Z84" s="121"/>
      <c r="AA84" s="121"/>
      <c r="AB84" s="149"/>
      <c r="AC84" s="3"/>
      <c r="AD84" s="3"/>
    </row>
    <row r="85" spans="1:30" x14ac:dyDescent="0.25">
      <c r="A85" s="1"/>
      <c r="B85" s="453" t="s">
        <v>179</v>
      </c>
      <c r="C85" s="450"/>
      <c r="D85" s="450"/>
      <c r="E85" s="450"/>
      <c r="F85" s="450"/>
      <c r="G85" s="450"/>
      <c r="H85" s="450"/>
      <c r="I85" s="450"/>
      <c r="J85" s="450"/>
      <c r="K85" s="450"/>
      <c r="L85" s="450"/>
      <c r="M85" s="450"/>
      <c r="N85" s="450"/>
      <c r="O85" s="450"/>
      <c r="P85" s="450"/>
      <c r="Q85" s="450"/>
      <c r="R85" s="450"/>
      <c r="S85" s="450"/>
      <c r="T85" s="450"/>
      <c r="U85" s="450"/>
      <c r="V85" s="121"/>
      <c r="W85" s="121"/>
      <c r="X85" s="121"/>
      <c r="Y85" s="121"/>
      <c r="Z85" s="121"/>
      <c r="AA85" s="121"/>
      <c r="AB85" s="149"/>
      <c r="AC85" s="3"/>
      <c r="AD85" s="3"/>
    </row>
    <row r="86" spans="1:30" x14ac:dyDescent="0.25">
      <c r="A86" s="1"/>
      <c r="B86" s="453" t="s">
        <v>180</v>
      </c>
      <c r="C86" s="450"/>
      <c r="D86" s="450"/>
      <c r="E86" s="450"/>
      <c r="F86" s="450"/>
      <c r="G86" s="450"/>
      <c r="H86" s="450"/>
      <c r="I86" s="450"/>
      <c r="J86" s="450"/>
      <c r="K86" s="450"/>
      <c r="L86" s="450"/>
      <c r="M86" s="450"/>
      <c r="N86" s="450"/>
      <c r="O86" s="450"/>
      <c r="P86" s="450"/>
      <c r="Q86" s="450"/>
      <c r="R86" s="450"/>
      <c r="S86" s="450"/>
      <c r="T86" s="450"/>
      <c r="U86" s="450"/>
      <c r="V86" s="121"/>
      <c r="W86" s="121"/>
      <c r="X86" s="121"/>
      <c r="Y86" s="121"/>
      <c r="Z86" s="121"/>
      <c r="AA86" s="121"/>
      <c r="AB86" s="149"/>
      <c r="AC86" s="3"/>
      <c r="AD86" s="3"/>
    </row>
    <row r="87" spans="1:30" x14ac:dyDescent="0.25">
      <c r="A87" s="1"/>
      <c r="B87" s="453" t="s">
        <v>181</v>
      </c>
      <c r="C87" s="450"/>
      <c r="D87" s="450"/>
      <c r="E87" s="450"/>
      <c r="F87" s="450"/>
      <c r="G87" s="450"/>
      <c r="H87" s="450"/>
      <c r="I87" s="450"/>
      <c r="J87" s="450"/>
      <c r="K87" s="450"/>
      <c r="L87" s="450"/>
      <c r="M87" s="450"/>
      <c r="N87" s="450"/>
      <c r="O87" s="450"/>
      <c r="P87" s="450"/>
      <c r="Q87" s="450"/>
      <c r="R87" s="450"/>
      <c r="S87" s="450"/>
      <c r="T87" s="450"/>
      <c r="U87" s="450"/>
      <c r="V87" s="121"/>
      <c r="W87" s="121"/>
      <c r="X87" s="121"/>
      <c r="Y87" s="121"/>
      <c r="Z87" s="121"/>
      <c r="AA87" s="121"/>
      <c r="AB87" s="149"/>
      <c r="AC87" s="3"/>
      <c r="AD87" s="3"/>
    </row>
    <row r="88" spans="1:30" x14ac:dyDescent="0.25">
      <c r="A88" s="1"/>
      <c r="B88" s="453" t="s">
        <v>182</v>
      </c>
      <c r="C88" s="450"/>
      <c r="D88" s="450"/>
      <c r="E88" s="450"/>
      <c r="F88" s="450"/>
      <c r="G88" s="450"/>
      <c r="H88" s="450"/>
      <c r="I88" s="450"/>
      <c r="J88" s="450"/>
      <c r="K88" s="450"/>
      <c r="L88" s="450"/>
      <c r="M88" s="450"/>
      <c r="N88" s="450"/>
      <c r="O88" s="450"/>
      <c r="P88" s="450"/>
      <c r="Q88" s="450"/>
      <c r="R88" s="450"/>
      <c r="S88" s="450"/>
      <c r="T88" s="450"/>
      <c r="U88" s="450"/>
      <c r="V88" s="121"/>
      <c r="W88" s="121"/>
      <c r="X88" s="121"/>
      <c r="Y88" s="121"/>
      <c r="Z88" s="121"/>
      <c r="AA88" s="121"/>
      <c r="AB88" s="149"/>
      <c r="AC88" s="3"/>
      <c r="AD88" s="3"/>
    </row>
    <row r="89" spans="1:30" x14ac:dyDescent="0.25">
      <c r="A89" s="1"/>
      <c r="B89" s="453" t="s">
        <v>183</v>
      </c>
      <c r="C89" s="450"/>
      <c r="D89" s="450"/>
      <c r="E89" s="450"/>
      <c r="F89" s="450"/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50"/>
      <c r="R89" s="450"/>
      <c r="S89" s="450"/>
      <c r="T89" s="450"/>
      <c r="U89" s="450"/>
      <c r="V89" s="121"/>
      <c r="W89" s="121"/>
      <c r="X89" s="121"/>
      <c r="Y89" s="121"/>
      <c r="Z89" s="121"/>
      <c r="AA89" s="121"/>
      <c r="AB89" s="149"/>
      <c r="AC89" s="3"/>
      <c r="AD89" s="3"/>
    </row>
    <row r="90" spans="1:30" x14ac:dyDescent="0.25">
      <c r="A90" s="1"/>
      <c r="B90" s="453" t="s">
        <v>184</v>
      </c>
      <c r="C90" s="450"/>
      <c r="D90" s="450"/>
      <c r="E90" s="450"/>
      <c r="F90" s="450"/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50"/>
      <c r="R90" s="450"/>
      <c r="S90" s="450"/>
      <c r="T90" s="450"/>
      <c r="U90" s="450"/>
      <c r="V90" s="121"/>
      <c r="W90" s="121"/>
      <c r="X90" s="121"/>
      <c r="Y90" s="121"/>
      <c r="Z90" s="121"/>
      <c r="AA90" s="121"/>
      <c r="AB90" s="149"/>
      <c r="AC90" s="3"/>
      <c r="AD90" s="3"/>
    </row>
    <row r="91" spans="1:30" x14ac:dyDescent="0.25">
      <c r="A91" s="1"/>
      <c r="B91" s="453" t="s">
        <v>185</v>
      </c>
      <c r="C91" s="450"/>
      <c r="D91" s="450"/>
      <c r="E91" s="450"/>
      <c r="F91" s="450"/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50"/>
      <c r="R91" s="450"/>
      <c r="S91" s="450"/>
      <c r="T91" s="450"/>
      <c r="U91" s="450"/>
      <c r="V91" s="121"/>
      <c r="W91" s="121"/>
      <c r="X91" s="121"/>
      <c r="Y91" s="121"/>
      <c r="Z91" s="121"/>
      <c r="AA91" s="121"/>
      <c r="AB91" s="149"/>
      <c r="AC91" s="3"/>
      <c r="AD91" s="3"/>
    </row>
    <row r="92" spans="1:30" x14ac:dyDescent="0.25">
      <c r="A92" s="1"/>
      <c r="B92" s="453" t="s">
        <v>186</v>
      </c>
      <c r="C92" s="450"/>
      <c r="D92" s="450"/>
      <c r="E92" s="450"/>
      <c r="F92" s="450"/>
      <c r="G92" s="450"/>
      <c r="H92" s="450"/>
      <c r="I92" s="450"/>
      <c r="J92" s="450"/>
      <c r="K92" s="450"/>
      <c r="L92" s="450"/>
      <c r="M92" s="450"/>
      <c r="N92" s="450"/>
      <c r="O92" s="450"/>
      <c r="P92" s="450"/>
      <c r="Q92" s="450"/>
      <c r="R92" s="450"/>
      <c r="S92" s="450"/>
      <c r="T92" s="450"/>
      <c r="U92" s="450"/>
      <c r="V92" s="121"/>
      <c r="W92" s="121"/>
      <c r="X92" s="121"/>
      <c r="Y92" s="121"/>
      <c r="Z92" s="121"/>
      <c r="AA92" s="121"/>
      <c r="AB92" s="149"/>
      <c r="AC92" s="3"/>
      <c r="AD92" s="3"/>
    </row>
    <row r="93" spans="1:30" x14ac:dyDescent="0.25">
      <c r="A93" s="1"/>
      <c r="B93" s="453" t="s">
        <v>187</v>
      </c>
      <c r="C93" s="450"/>
      <c r="D93" s="450"/>
      <c r="E93" s="450"/>
      <c r="F93" s="450"/>
      <c r="G93" s="450"/>
      <c r="H93" s="450"/>
      <c r="I93" s="450"/>
      <c r="J93" s="450"/>
      <c r="K93" s="450"/>
      <c r="L93" s="450"/>
      <c r="M93" s="450"/>
      <c r="N93" s="450"/>
      <c r="O93" s="450"/>
      <c r="P93" s="450"/>
      <c r="Q93" s="450"/>
      <c r="R93" s="450"/>
      <c r="S93" s="450"/>
      <c r="T93" s="450"/>
      <c r="U93" s="450"/>
      <c r="V93" s="121"/>
      <c r="W93" s="121"/>
      <c r="X93" s="121"/>
      <c r="Y93" s="121"/>
      <c r="Z93" s="121"/>
      <c r="AA93" s="121"/>
      <c r="AB93" s="149"/>
      <c r="AC93" s="3"/>
      <c r="AD93" s="3"/>
    </row>
    <row r="94" spans="1:30" x14ac:dyDescent="0.25">
      <c r="A94" s="1"/>
      <c r="B94" s="453" t="s">
        <v>188</v>
      </c>
      <c r="C94" s="450"/>
      <c r="D94" s="450"/>
      <c r="E94" s="450"/>
      <c r="F94" s="450"/>
      <c r="G94" s="450"/>
      <c r="H94" s="450"/>
      <c r="I94" s="450"/>
      <c r="J94" s="450"/>
      <c r="K94" s="450"/>
      <c r="L94" s="450"/>
      <c r="M94" s="450"/>
      <c r="N94" s="450"/>
      <c r="O94" s="450"/>
      <c r="P94" s="450"/>
      <c r="Q94" s="450"/>
      <c r="R94" s="450"/>
      <c r="S94" s="450"/>
      <c r="T94" s="450"/>
      <c r="U94" s="450"/>
      <c r="V94" s="121"/>
      <c r="W94" s="121"/>
      <c r="X94" s="121"/>
      <c r="Y94" s="121"/>
      <c r="Z94" s="121"/>
      <c r="AA94" s="121"/>
      <c r="AB94" s="149"/>
      <c r="AC94" s="3"/>
      <c r="AD94" s="3"/>
    </row>
    <row r="95" spans="1:30" x14ac:dyDescent="0.25">
      <c r="A95" s="1"/>
      <c r="B95" s="453" t="s">
        <v>189</v>
      </c>
      <c r="C95" s="450"/>
      <c r="D95" s="450"/>
      <c r="E95" s="450"/>
      <c r="F95" s="450"/>
      <c r="G95" s="450"/>
      <c r="H95" s="450"/>
      <c r="I95" s="450"/>
      <c r="J95" s="450"/>
      <c r="K95" s="450"/>
      <c r="L95" s="450"/>
      <c r="M95" s="450"/>
      <c r="N95" s="450"/>
      <c r="O95" s="450"/>
      <c r="P95" s="450"/>
      <c r="Q95" s="450"/>
      <c r="R95" s="450"/>
      <c r="S95" s="450"/>
      <c r="T95" s="450"/>
      <c r="U95" s="450"/>
      <c r="V95" s="121"/>
      <c r="W95" s="121"/>
      <c r="X95" s="121"/>
      <c r="Y95" s="121"/>
      <c r="Z95" s="121"/>
      <c r="AA95" s="121"/>
      <c r="AB95" s="149"/>
      <c r="AC95" s="3"/>
      <c r="AD95" s="3"/>
    </row>
    <row r="96" spans="1:30" x14ac:dyDescent="0.25">
      <c r="A96" s="1"/>
      <c r="B96" s="453" t="s">
        <v>190</v>
      </c>
      <c r="C96" s="450"/>
      <c r="D96" s="450"/>
      <c r="E96" s="450"/>
      <c r="F96" s="450"/>
      <c r="G96" s="450"/>
      <c r="H96" s="450"/>
      <c r="I96" s="450"/>
      <c r="J96" s="450"/>
      <c r="K96" s="450"/>
      <c r="L96" s="450"/>
      <c r="M96" s="450"/>
      <c r="N96" s="450"/>
      <c r="O96" s="450"/>
      <c r="P96" s="450"/>
      <c r="Q96" s="450"/>
      <c r="R96" s="450"/>
      <c r="S96" s="450"/>
      <c r="T96" s="450"/>
      <c r="U96" s="450"/>
      <c r="V96" s="121"/>
      <c r="W96" s="121"/>
      <c r="X96" s="121"/>
      <c r="Y96" s="121"/>
      <c r="Z96" s="121"/>
      <c r="AA96" s="121"/>
      <c r="AB96" s="149"/>
      <c r="AC96" s="3"/>
      <c r="AD96" s="3"/>
    </row>
    <row r="97" spans="1:30" x14ac:dyDescent="0.25">
      <c r="A97" s="1"/>
      <c r="B97" s="453" t="s">
        <v>191</v>
      </c>
      <c r="C97" s="450"/>
      <c r="D97" s="450"/>
      <c r="E97" s="450"/>
      <c r="F97" s="450"/>
      <c r="G97" s="450"/>
      <c r="H97" s="450"/>
      <c r="I97" s="450"/>
      <c r="J97" s="450"/>
      <c r="K97" s="450"/>
      <c r="L97" s="450"/>
      <c r="M97" s="450"/>
      <c r="N97" s="450"/>
      <c r="O97" s="450"/>
      <c r="P97" s="450"/>
      <c r="Q97" s="450"/>
      <c r="R97" s="450"/>
      <c r="S97" s="450"/>
      <c r="T97" s="450"/>
      <c r="U97" s="450"/>
      <c r="V97" s="121"/>
      <c r="W97" s="121"/>
      <c r="X97" s="121"/>
      <c r="Y97" s="121"/>
      <c r="Z97" s="121"/>
      <c r="AA97" s="121"/>
      <c r="AB97" s="149"/>
      <c r="AC97" s="3"/>
      <c r="AD97" s="3"/>
    </row>
    <row r="98" spans="1:30" x14ac:dyDescent="0.25">
      <c r="A98" s="1"/>
      <c r="B98" s="453" t="s">
        <v>192</v>
      </c>
      <c r="C98" s="450"/>
      <c r="D98" s="450"/>
      <c r="E98" s="450"/>
      <c r="F98" s="450"/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50"/>
      <c r="R98" s="450"/>
      <c r="S98" s="450"/>
      <c r="T98" s="450"/>
      <c r="U98" s="450"/>
      <c r="V98" s="121"/>
      <c r="W98" s="121"/>
      <c r="X98" s="121"/>
      <c r="Y98" s="121"/>
      <c r="Z98" s="121"/>
      <c r="AA98" s="121"/>
      <c r="AB98" s="149"/>
      <c r="AC98" s="3"/>
      <c r="AD98" s="3"/>
    </row>
    <row r="99" spans="1:30" x14ac:dyDescent="0.25">
      <c r="A99" s="1"/>
      <c r="B99" s="453" t="s">
        <v>193</v>
      </c>
      <c r="C99" s="450"/>
      <c r="D99" s="450"/>
      <c r="E99" s="450"/>
      <c r="F99" s="450"/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50"/>
      <c r="R99" s="450"/>
      <c r="S99" s="450"/>
      <c r="T99" s="450"/>
      <c r="U99" s="450"/>
      <c r="V99" s="121"/>
      <c r="W99" s="121"/>
      <c r="X99" s="121"/>
      <c r="Y99" s="121"/>
      <c r="Z99" s="121"/>
      <c r="AA99" s="121"/>
      <c r="AB99" s="149"/>
      <c r="AC99" s="3"/>
      <c r="AD99" s="3"/>
    </row>
    <row r="100" spans="1:30" x14ac:dyDescent="0.25">
      <c r="A100" s="1"/>
      <c r="B100" s="453" t="s">
        <v>194</v>
      </c>
      <c r="C100" s="450"/>
      <c r="D100" s="450"/>
      <c r="E100" s="450"/>
      <c r="F100" s="450"/>
      <c r="G100" s="450"/>
      <c r="H100" s="450"/>
      <c r="I100" s="450"/>
      <c r="J100" s="450"/>
      <c r="K100" s="450"/>
      <c r="L100" s="450"/>
      <c r="M100" s="450"/>
      <c r="N100" s="450"/>
      <c r="O100" s="450"/>
      <c r="P100" s="450"/>
      <c r="Q100" s="450"/>
      <c r="R100" s="450"/>
      <c r="S100" s="450"/>
      <c r="T100" s="450"/>
      <c r="U100" s="450"/>
      <c r="V100" s="121"/>
      <c r="W100" s="121"/>
      <c r="X100" s="121"/>
      <c r="Y100" s="121"/>
      <c r="Z100" s="121"/>
      <c r="AA100" s="121"/>
      <c r="AB100" s="149"/>
      <c r="AC100" s="3"/>
      <c r="AD100" s="3"/>
    </row>
    <row r="101" spans="1:30" x14ac:dyDescent="0.25">
      <c r="A101" s="1"/>
      <c r="B101" s="448" t="s">
        <v>195</v>
      </c>
      <c r="C101" s="449"/>
      <c r="D101" s="449"/>
      <c r="E101" s="450"/>
      <c r="F101" s="450"/>
      <c r="G101" s="450"/>
      <c r="H101" s="450"/>
      <c r="I101" s="450"/>
      <c r="J101" s="450"/>
      <c r="K101" s="450"/>
      <c r="L101" s="450"/>
      <c r="M101" s="450"/>
      <c r="N101" s="450"/>
      <c r="O101" s="450"/>
      <c r="P101" s="450"/>
      <c r="Q101" s="450"/>
      <c r="R101" s="450"/>
      <c r="S101" s="450"/>
      <c r="T101" s="450"/>
      <c r="U101" s="450"/>
      <c r="V101" s="121"/>
      <c r="W101" s="121"/>
      <c r="X101" s="121"/>
      <c r="Y101" s="121"/>
      <c r="Z101" s="121"/>
      <c r="AA101" s="121"/>
      <c r="AB101" s="149"/>
      <c r="AC101" s="3"/>
      <c r="AD101" s="3"/>
    </row>
    <row r="102" spans="1:30" x14ac:dyDescent="0.25">
      <c r="A102" s="1"/>
      <c r="B102" s="453" t="s">
        <v>196</v>
      </c>
      <c r="C102" s="450"/>
      <c r="D102" s="450"/>
      <c r="E102" s="450"/>
      <c r="F102" s="450"/>
      <c r="G102" s="450"/>
      <c r="H102" s="450"/>
      <c r="I102" s="450"/>
      <c r="J102" s="450"/>
      <c r="K102" s="450"/>
      <c r="L102" s="450"/>
      <c r="M102" s="450"/>
      <c r="N102" s="450"/>
      <c r="O102" s="450"/>
      <c r="P102" s="450"/>
      <c r="Q102" s="450"/>
      <c r="R102" s="450"/>
      <c r="S102" s="450"/>
      <c r="T102" s="450"/>
      <c r="U102" s="450"/>
      <c r="V102" s="121"/>
      <c r="W102" s="121"/>
      <c r="X102" s="121"/>
      <c r="Y102" s="121"/>
      <c r="Z102" s="121"/>
      <c r="AA102" s="121"/>
      <c r="AB102" s="149"/>
      <c r="AC102" s="3"/>
      <c r="AD102" s="3"/>
    </row>
    <row r="103" spans="1:30" x14ac:dyDescent="0.25">
      <c r="A103" s="1"/>
      <c r="B103" s="448" t="s">
        <v>197</v>
      </c>
      <c r="C103" s="449"/>
      <c r="D103" s="449"/>
      <c r="E103" s="450"/>
      <c r="F103" s="450"/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50"/>
      <c r="R103" s="450"/>
      <c r="S103" s="450"/>
      <c r="T103" s="450"/>
      <c r="U103" s="450"/>
      <c r="V103" s="121"/>
      <c r="W103" s="121"/>
      <c r="X103" s="121"/>
      <c r="Y103" s="121"/>
      <c r="Z103" s="121"/>
      <c r="AA103" s="121"/>
      <c r="AB103" s="149"/>
      <c r="AC103" s="3"/>
      <c r="AD103" s="3"/>
    </row>
    <row r="104" spans="1:30" x14ac:dyDescent="0.25">
      <c r="A104" s="1"/>
      <c r="B104" s="451" t="s">
        <v>198</v>
      </c>
      <c r="C104" s="452"/>
      <c r="D104" s="452"/>
      <c r="E104" s="450"/>
      <c r="F104" s="450"/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50"/>
      <c r="R104" s="450"/>
      <c r="S104" s="450"/>
      <c r="T104" s="450"/>
      <c r="U104" s="450"/>
      <c r="V104" s="121"/>
      <c r="W104" s="121"/>
      <c r="X104" s="121"/>
      <c r="Y104" s="121"/>
      <c r="Z104" s="121"/>
      <c r="AA104" s="121"/>
      <c r="AB104" s="149"/>
      <c r="AC104" s="3"/>
      <c r="AD104" s="3"/>
    </row>
    <row r="105" spans="1:30" x14ac:dyDescent="0.25">
      <c r="A105" s="1"/>
      <c r="B105" s="451" t="s">
        <v>199</v>
      </c>
      <c r="C105" s="452"/>
      <c r="D105" s="452"/>
      <c r="E105" s="450"/>
      <c r="F105" s="450"/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50"/>
      <c r="R105" s="450"/>
      <c r="S105" s="450"/>
      <c r="T105" s="450"/>
      <c r="U105" s="450"/>
      <c r="V105" s="121"/>
      <c r="W105" s="121"/>
      <c r="X105" s="121"/>
      <c r="Y105" s="121"/>
      <c r="Z105" s="121"/>
      <c r="AA105" s="121"/>
      <c r="AB105" s="149"/>
      <c r="AC105" s="3"/>
      <c r="AD105" s="3"/>
    </row>
    <row r="106" spans="1:30" x14ac:dyDescent="0.25">
      <c r="A106" s="1"/>
      <c r="B106" s="451" t="s">
        <v>200</v>
      </c>
      <c r="C106" s="452"/>
      <c r="D106" s="452"/>
      <c r="E106" s="450"/>
      <c r="F106" s="450"/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50"/>
      <c r="R106" s="450"/>
      <c r="S106" s="450"/>
      <c r="T106" s="450"/>
      <c r="U106" s="450"/>
      <c r="V106" s="121"/>
      <c r="W106" s="121"/>
      <c r="X106" s="121"/>
      <c r="Y106" s="121"/>
      <c r="Z106" s="121"/>
      <c r="AA106" s="121"/>
      <c r="AB106" s="149"/>
      <c r="AC106" s="3"/>
      <c r="AD106" s="3"/>
    </row>
    <row r="107" spans="1:30" x14ac:dyDescent="0.25">
      <c r="A107" s="1"/>
      <c r="B107" s="451" t="s">
        <v>201</v>
      </c>
      <c r="C107" s="452"/>
      <c r="D107" s="452"/>
      <c r="E107" s="450"/>
      <c r="F107" s="450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50"/>
      <c r="R107" s="450"/>
      <c r="S107" s="450"/>
      <c r="T107" s="450"/>
      <c r="U107" s="450"/>
      <c r="V107" s="121"/>
      <c r="W107" s="121"/>
      <c r="X107" s="121"/>
      <c r="Y107" s="121"/>
      <c r="Z107" s="121"/>
      <c r="AA107" s="121"/>
      <c r="AB107" s="149"/>
      <c r="AC107" s="3"/>
      <c r="AD107" s="3"/>
    </row>
    <row r="108" spans="1:30" x14ac:dyDescent="0.25">
      <c r="A108" s="1"/>
      <c r="B108" s="150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21"/>
      <c r="W108" s="121"/>
      <c r="X108" s="121"/>
      <c r="Y108" s="121"/>
      <c r="Z108" s="121"/>
      <c r="AA108" s="121"/>
      <c r="AB108" s="149"/>
      <c r="AC108" s="3"/>
      <c r="AD108" s="3"/>
    </row>
    <row r="109" spans="1:30" x14ac:dyDescent="0.25">
      <c r="A109" s="1"/>
      <c r="B109" s="158" t="s">
        <v>202</v>
      </c>
      <c r="C109" s="159"/>
      <c r="D109" s="160"/>
      <c r="E109" s="160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2"/>
      <c r="W109" s="162"/>
      <c r="X109" s="162"/>
      <c r="Y109" s="162"/>
      <c r="Z109" s="162"/>
      <c r="AA109" s="162"/>
      <c r="AB109" s="163"/>
      <c r="AC109" s="3"/>
      <c r="AD109" s="3"/>
    </row>
    <row r="110" spans="1:30" x14ac:dyDescent="0.25">
      <c r="A110" s="115"/>
      <c r="B110" s="164"/>
      <c r="C110" s="165"/>
      <c r="D110" s="164"/>
      <c r="E110" s="164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x14ac:dyDescent="0.25">
      <c r="A111" s="115"/>
      <c r="B111" s="164"/>
      <c r="C111" s="165"/>
      <c r="D111" s="164"/>
      <c r="E111" s="164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x14ac:dyDescent="0.25">
      <c r="A112" s="1"/>
      <c r="B112" s="167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x14ac:dyDescent="0.25">
      <c r="A113" s="1"/>
      <c r="B113" s="167" t="s">
        <v>104</v>
      </c>
      <c r="C113" s="168"/>
      <c r="D113" s="167" t="s">
        <v>105</v>
      </c>
      <c r="E113" s="576"/>
      <c r="F113" s="576"/>
      <c r="G113" s="576"/>
      <c r="H113" s="167"/>
      <c r="I113" s="167" t="s">
        <v>107</v>
      </c>
      <c r="J113" s="577"/>
      <c r="K113" s="577"/>
      <c r="L113" s="577"/>
      <c r="M113" s="577"/>
      <c r="N113" s="167"/>
      <c r="O113" s="167"/>
      <c r="P113" s="167"/>
      <c r="Q113" s="167"/>
      <c r="R113" s="167"/>
      <c r="S113" s="167"/>
      <c r="T113" s="167"/>
      <c r="U113" s="167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7.5" customHeight="1" x14ac:dyDescent="0.25">
      <c r="A114" s="1"/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x14ac:dyDescent="0.25">
      <c r="A115" s="1"/>
      <c r="B115" s="167"/>
      <c r="C115" s="167"/>
      <c r="D115" s="167" t="s">
        <v>109</v>
      </c>
      <c r="E115" s="169"/>
      <c r="F115" s="169"/>
      <c r="G115" s="169"/>
      <c r="H115" s="167"/>
      <c r="I115" s="167" t="s">
        <v>109</v>
      </c>
      <c r="J115" s="170"/>
      <c r="K115" s="170"/>
      <c r="L115" s="170"/>
      <c r="M115" s="170"/>
      <c r="N115" s="167"/>
      <c r="O115" s="167"/>
      <c r="P115" s="167"/>
      <c r="Q115" s="167"/>
      <c r="R115" s="167"/>
      <c r="S115" s="167"/>
      <c r="T115" s="167"/>
      <c r="U115" s="167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x14ac:dyDescent="0.25">
      <c r="A116" s="1"/>
      <c r="B116" s="167"/>
      <c r="C116" s="167"/>
      <c r="D116" s="167"/>
      <c r="E116" s="169"/>
      <c r="F116" s="169"/>
      <c r="G116" s="169"/>
      <c r="H116" s="167"/>
      <c r="I116" s="167"/>
      <c r="J116" s="170"/>
      <c r="K116" s="170"/>
      <c r="L116" s="170"/>
      <c r="M116" s="170"/>
      <c r="N116" s="167"/>
      <c r="O116" s="167"/>
      <c r="P116" s="167"/>
      <c r="Q116" s="167"/>
      <c r="R116" s="167"/>
      <c r="S116" s="167"/>
      <c r="T116" s="167"/>
      <c r="U116" s="167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x14ac:dyDescent="0.25">
      <c r="A117" s="1"/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x14ac:dyDescent="0.25">
      <c r="A118" s="1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idden="1" x14ac:dyDescent="0.25">
      <c r="AC119" s="4"/>
      <c r="AD119" s="4"/>
    </row>
    <row r="120" spans="1:30" hidden="1" x14ac:dyDescent="0.25"/>
    <row r="121" spans="1:30" hidden="1" x14ac:dyDescent="0.25"/>
    <row r="122" spans="1:30" hidden="1" x14ac:dyDescent="0.25"/>
    <row r="123" spans="1:30" hidden="1" x14ac:dyDescent="0.25"/>
    <row r="124" spans="1:30" hidden="1" x14ac:dyDescent="0.25"/>
    <row r="125" spans="1:30" hidden="1" x14ac:dyDescent="0.25"/>
    <row r="126" spans="1:30" hidden="1" x14ac:dyDescent="0.25"/>
    <row r="127" spans="1:30" hidden="1" x14ac:dyDescent="0.25"/>
    <row r="128" spans="1:30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t="15" hidden="1" customHeight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t="15" hidden="1" customHeight="1" x14ac:dyDescent="0.25"/>
    <row r="150" ht="15" hidden="1" customHeight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</sheetData>
  <mergeCells count="73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6:AB28"/>
    <mergeCell ref="J27:L27"/>
    <mergeCell ref="M27:M28"/>
    <mergeCell ref="N27:N28"/>
    <mergeCell ref="O27:O28"/>
    <mergeCell ref="AA13:AA14"/>
    <mergeCell ref="D26:I26"/>
    <mergeCell ref="J26:O26"/>
    <mergeCell ref="P26:U26"/>
    <mergeCell ref="V26:AA26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27:B28"/>
    <mergeCell ref="C27:C28"/>
    <mergeCell ref="D27:F27"/>
    <mergeCell ref="G27:G28"/>
    <mergeCell ref="H27:H28"/>
    <mergeCell ref="V58:X58"/>
    <mergeCell ref="P27:R27"/>
    <mergeCell ref="S27:S28"/>
    <mergeCell ref="T27:T28"/>
    <mergeCell ref="U27:U28"/>
    <mergeCell ref="V27:X27"/>
    <mergeCell ref="Z27:Z28"/>
    <mergeCell ref="AA27:AA28"/>
    <mergeCell ref="C44:C45"/>
    <mergeCell ref="C47:C48"/>
    <mergeCell ref="V57:X57"/>
    <mergeCell ref="Y27:Y28"/>
    <mergeCell ref="I27:I28"/>
    <mergeCell ref="E113:G113"/>
    <mergeCell ref="J113:M113"/>
    <mergeCell ref="V59:X59"/>
    <mergeCell ref="V63:X63"/>
    <mergeCell ref="U66:X66"/>
    <mergeCell ref="U67:X67"/>
    <mergeCell ref="U68:X68"/>
    <mergeCell ref="U69:X69"/>
    <mergeCell ref="U70:X70"/>
    <mergeCell ref="U74:X74"/>
    <mergeCell ref="D77:U77"/>
    <mergeCell ref="B80:U80"/>
    <mergeCell ref="B81:U81"/>
  </mergeCells>
  <conditionalFormatting sqref="AB15:AB26 AB29:AB42">
    <cfRule type="cellIs" dxfId="31" priority="1" operator="equal">
      <formula>0</formula>
    </cfRule>
    <cfRule type="containsErrors" dxfId="30" priority="2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0000"/>
    <pageSetUpPr fitToPage="1"/>
  </sheetPr>
  <dimension ref="A1:XFC145"/>
  <sheetViews>
    <sheetView showGridLines="0" zoomScale="75" zoomScaleNormal="75" zoomScaleSheetLayoutView="80" workbookViewId="0">
      <selection activeCell="G26" sqref="G26:G2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36.7109375" customWidth="1"/>
    <col min="4" max="4" width="16.5703125" customWidth="1"/>
    <col min="5" max="5" width="17.85546875" customWidth="1"/>
    <col min="6" max="6" width="16.85546875" customWidth="1"/>
    <col min="7" max="7" width="21.28515625" customWidth="1"/>
    <col min="8" max="8" width="14.140625" customWidth="1"/>
    <col min="9" max="9" width="14.85546875" customWidth="1"/>
    <col min="10" max="10" width="16.140625" customWidth="1"/>
    <col min="11" max="11" width="17.85546875" customWidth="1"/>
    <col min="12" max="12" width="13.7109375" customWidth="1"/>
    <col min="13" max="13" width="23.42578125" style="327" customWidth="1"/>
    <col min="14" max="14" width="15.5703125" customWidth="1"/>
    <col min="15" max="15" width="18.7109375" customWidth="1"/>
    <col min="16" max="18" width="16.42578125" customWidth="1"/>
    <col min="19" max="19" width="21.140625" customWidth="1"/>
    <col min="20" max="20" width="16.42578125" customWidth="1"/>
    <col min="21" max="21" width="14.85546875" customWidth="1"/>
    <col min="22" max="22" width="16.140625" bestFit="1" customWidth="1"/>
    <col min="23" max="23" width="14.140625" bestFit="1" customWidth="1"/>
    <col min="24" max="24" width="16.42578125" customWidth="1"/>
    <col min="25" max="25" width="17.7109375" customWidth="1"/>
    <col min="26" max="26" width="15.140625" customWidth="1"/>
    <col min="27" max="27" width="19.140625" customWidth="1"/>
    <col min="28" max="28" width="17.7109375" customWidth="1"/>
    <col min="29" max="29" width="5.85546875" customWidth="1"/>
    <col min="30" max="30" width="0" hidden="1" customWidth="1"/>
    <col min="31" max="16383" width="9.140625" hidden="1"/>
    <col min="16384" max="16384" width="118.5703125" hidden="1" customWidth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17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7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7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1</v>
      </c>
      <c r="C4" s="3"/>
      <c r="D4" s="690" t="s">
        <v>203</v>
      </c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7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3</v>
      </c>
      <c r="C6" s="3"/>
      <c r="D6" s="174">
        <v>79065</v>
      </c>
      <c r="E6" s="3"/>
      <c r="F6" s="3"/>
      <c r="G6" s="3"/>
      <c r="H6" s="3"/>
      <c r="I6" s="3"/>
      <c r="J6" s="3"/>
      <c r="K6" s="3"/>
      <c r="L6" s="3"/>
      <c r="M6" s="17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175"/>
      <c r="E7" s="3"/>
      <c r="F7" s="3"/>
      <c r="G7" s="3"/>
      <c r="H7" s="3"/>
      <c r="I7" s="3"/>
      <c r="J7" s="3"/>
      <c r="K7" s="3"/>
      <c r="L7" s="3"/>
      <c r="M7" s="17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5</v>
      </c>
      <c r="C8" s="3"/>
      <c r="D8" s="691" t="s">
        <v>204</v>
      </c>
      <c r="E8" s="691"/>
      <c r="F8" s="691"/>
      <c r="G8" s="691"/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691"/>
      <c r="T8" s="691"/>
      <c r="U8" s="691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7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692" t="s">
        <v>7</v>
      </c>
      <c r="C10" s="651" t="s">
        <v>8</v>
      </c>
      <c r="D10" s="678" t="s">
        <v>9</v>
      </c>
      <c r="E10" s="679"/>
      <c r="F10" s="679"/>
      <c r="G10" s="679"/>
      <c r="H10" s="679"/>
      <c r="I10" s="680"/>
      <c r="J10" s="678" t="s">
        <v>10</v>
      </c>
      <c r="K10" s="679"/>
      <c r="L10" s="679"/>
      <c r="M10" s="679"/>
      <c r="N10" s="679"/>
      <c r="O10" s="680"/>
      <c r="P10" s="678" t="s">
        <v>11</v>
      </c>
      <c r="Q10" s="679"/>
      <c r="R10" s="679"/>
      <c r="S10" s="679"/>
      <c r="T10" s="679"/>
      <c r="U10" s="680"/>
      <c r="V10" s="678" t="s">
        <v>12</v>
      </c>
      <c r="W10" s="679"/>
      <c r="X10" s="679"/>
      <c r="Y10" s="679"/>
      <c r="Z10" s="679"/>
      <c r="AA10" s="680"/>
      <c r="AB10" s="681" t="s">
        <v>13</v>
      </c>
      <c r="AC10" s="3"/>
      <c r="AD10" s="3"/>
    </row>
    <row r="11" spans="1:30" ht="30.75" customHeight="1" thickBot="1" x14ac:dyDescent="0.3">
      <c r="A11" s="3"/>
      <c r="B11" s="693"/>
      <c r="C11" s="652"/>
      <c r="D11" s="684" t="s">
        <v>14</v>
      </c>
      <c r="E11" s="685"/>
      <c r="F11" s="685"/>
      <c r="G11" s="686"/>
      <c r="H11" s="176" t="s">
        <v>15</v>
      </c>
      <c r="I11" s="176" t="s">
        <v>16</v>
      </c>
      <c r="J11" s="684" t="s">
        <v>14</v>
      </c>
      <c r="K11" s="685"/>
      <c r="L11" s="685"/>
      <c r="M11" s="686"/>
      <c r="N11" s="176" t="s">
        <v>15</v>
      </c>
      <c r="O11" s="176" t="s">
        <v>16</v>
      </c>
      <c r="P11" s="684" t="s">
        <v>14</v>
      </c>
      <c r="Q11" s="685"/>
      <c r="R11" s="685"/>
      <c r="S11" s="686"/>
      <c r="T11" s="176" t="s">
        <v>15</v>
      </c>
      <c r="U11" s="176" t="s">
        <v>16</v>
      </c>
      <c r="V11" s="684" t="s">
        <v>14</v>
      </c>
      <c r="W11" s="685"/>
      <c r="X11" s="685"/>
      <c r="Y11" s="686"/>
      <c r="Z11" s="176" t="s">
        <v>15</v>
      </c>
      <c r="AA11" s="176" t="s">
        <v>16</v>
      </c>
      <c r="AB11" s="682"/>
      <c r="AC11" s="3"/>
      <c r="AD11" s="3"/>
    </row>
    <row r="12" spans="1:30" ht="15.75" customHeight="1" thickBot="1" x14ac:dyDescent="0.3">
      <c r="A12" s="3"/>
      <c r="B12" s="693"/>
      <c r="C12" s="695"/>
      <c r="D12" s="687" t="s">
        <v>17</v>
      </c>
      <c r="E12" s="688"/>
      <c r="F12" s="688"/>
      <c r="G12" s="688"/>
      <c r="H12" s="688"/>
      <c r="I12" s="689"/>
      <c r="J12" s="687" t="s">
        <v>17</v>
      </c>
      <c r="K12" s="688"/>
      <c r="L12" s="688"/>
      <c r="M12" s="688"/>
      <c r="N12" s="688"/>
      <c r="O12" s="689"/>
      <c r="P12" s="687" t="s">
        <v>17</v>
      </c>
      <c r="Q12" s="688"/>
      <c r="R12" s="688"/>
      <c r="S12" s="688"/>
      <c r="T12" s="688"/>
      <c r="U12" s="689"/>
      <c r="V12" s="687" t="s">
        <v>17</v>
      </c>
      <c r="W12" s="688"/>
      <c r="X12" s="688"/>
      <c r="Y12" s="688"/>
      <c r="Z12" s="688"/>
      <c r="AA12" s="689"/>
      <c r="AB12" s="682"/>
      <c r="AC12" s="3"/>
      <c r="AD12" s="3"/>
    </row>
    <row r="13" spans="1:30" ht="15.75" customHeight="1" thickBot="1" x14ac:dyDescent="0.3">
      <c r="A13" s="3"/>
      <c r="B13" s="694"/>
      <c r="C13" s="696"/>
      <c r="D13" s="676" t="s">
        <v>18</v>
      </c>
      <c r="E13" s="677"/>
      <c r="F13" s="677"/>
      <c r="G13" s="647" t="s">
        <v>19</v>
      </c>
      <c r="H13" s="674" t="s">
        <v>20</v>
      </c>
      <c r="I13" s="653" t="s">
        <v>17</v>
      </c>
      <c r="J13" s="676" t="s">
        <v>18</v>
      </c>
      <c r="K13" s="677"/>
      <c r="L13" s="677"/>
      <c r="M13" s="647" t="s">
        <v>19</v>
      </c>
      <c r="N13" s="674" t="s">
        <v>20</v>
      </c>
      <c r="O13" s="653" t="s">
        <v>17</v>
      </c>
      <c r="P13" s="676" t="s">
        <v>18</v>
      </c>
      <c r="Q13" s="677"/>
      <c r="R13" s="677"/>
      <c r="S13" s="647" t="s">
        <v>19</v>
      </c>
      <c r="T13" s="674" t="s">
        <v>20</v>
      </c>
      <c r="U13" s="653" t="s">
        <v>17</v>
      </c>
      <c r="V13" s="676" t="s">
        <v>18</v>
      </c>
      <c r="W13" s="677"/>
      <c r="X13" s="677"/>
      <c r="Y13" s="647" t="s">
        <v>19</v>
      </c>
      <c r="Z13" s="674" t="s">
        <v>20</v>
      </c>
      <c r="AA13" s="653" t="s">
        <v>17</v>
      </c>
      <c r="AB13" s="682"/>
      <c r="AC13" s="3"/>
      <c r="AD13" s="3"/>
    </row>
    <row r="14" spans="1:30" ht="15.75" thickBot="1" x14ac:dyDescent="0.3">
      <c r="A14" s="3"/>
      <c r="B14" s="177"/>
      <c r="C14" s="178"/>
      <c r="D14" s="179" t="s">
        <v>21</v>
      </c>
      <c r="E14" s="180" t="s">
        <v>22</v>
      </c>
      <c r="F14" s="180" t="s">
        <v>23</v>
      </c>
      <c r="G14" s="648"/>
      <c r="H14" s="675"/>
      <c r="I14" s="654"/>
      <c r="J14" s="179" t="s">
        <v>21</v>
      </c>
      <c r="K14" s="180" t="s">
        <v>22</v>
      </c>
      <c r="L14" s="180" t="s">
        <v>23</v>
      </c>
      <c r="M14" s="648"/>
      <c r="N14" s="675"/>
      <c r="O14" s="654"/>
      <c r="P14" s="179" t="s">
        <v>21</v>
      </c>
      <c r="Q14" s="180" t="s">
        <v>22</v>
      </c>
      <c r="R14" s="180" t="s">
        <v>23</v>
      </c>
      <c r="S14" s="648"/>
      <c r="T14" s="675"/>
      <c r="U14" s="654"/>
      <c r="V14" s="179" t="s">
        <v>21</v>
      </c>
      <c r="W14" s="180" t="s">
        <v>22</v>
      </c>
      <c r="X14" s="180" t="s">
        <v>23</v>
      </c>
      <c r="Y14" s="648"/>
      <c r="Z14" s="675"/>
      <c r="AA14" s="654"/>
      <c r="AB14" s="683"/>
      <c r="AC14" s="3"/>
      <c r="AD14" s="3"/>
    </row>
    <row r="15" spans="1:30" x14ac:dyDescent="0.25">
      <c r="A15" s="3"/>
      <c r="B15" s="181" t="s">
        <v>24</v>
      </c>
      <c r="C15" s="182" t="s">
        <v>25</v>
      </c>
      <c r="D15" s="183">
        <f>+'[1]Vyhodnocení hospodaření PO'!P15</f>
        <v>0</v>
      </c>
      <c r="E15" s="184">
        <f>+'[2]Vyhodnocení hospodaření PO'!Q15</f>
        <v>0</v>
      </c>
      <c r="F15" s="185">
        <f>+'[1]Vyhodnocení hospodaření PO'!R15</f>
        <v>25975740.789999999</v>
      </c>
      <c r="G15" s="186">
        <f>SUM(D15:F15)</f>
        <v>25975740.789999999</v>
      </c>
      <c r="H15" s="187">
        <f>+'[1]Vyhodnocení hospodaření PO'!T15</f>
        <v>22511621.059999995</v>
      </c>
      <c r="I15" s="188">
        <f>G15+H15</f>
        <v>48487361.849999994</v>
      </c>
      <c r="J15" s="385">
        <f>+'[3]NR 2025'!V15</f>
        <v>0</v>
      </c>
      <c r="K15" s="386">
        <f>+'[3]NR 2025'!W15</f>
        <v>0</v>
      </c>
      <c r="L15" s="387">
        <f>+'[3]NR 2025'!X15</f>
        <v>23000000</v>
      </c>
      <c r="M15" s="388">
        <f t="shared" ref="M15:M23" si="0">SUM(J15:L15)</f>
        <v>23000000</v>
      </c>
      <c r="N15" s="389">
        <f>+'[3]NR 2025'!Z15</f>
        <v>22000000</v>
      </c>
      <c r="O15" s="189">
        <f>M15+N15</f>
        <v>45000000</v>
      </c>
      <c r="P15" s="183">
        <f>+'[4]Vyhodnocení hosp. 1.pol. 2025'!P15</f>
        <v>0</v>
      </c>
      <c r="Q15" s="184">
        <f>+'[4]Vyhodnocení hosp. 1.pol. 2025'!Q15</f>
        <v>0</v>
      </c>
      <c r="R15" s="185">
        <f>+'[4]Vyhodnocení hosp. 1.pol. 2025'!R15</f>
        <v>13783214.639999999</v>
      </c>
      <c r="S15" s="186">
        <f>SUM(P15:R15)</f>
        <v>13783214.639999999</v>
      </c>
      <c r="T15" s="187">
        <f>+'[4]Vyhodnocení hosp. 1.pol. 2025'!T15</f>
        <v>11570406.26</v>
      </c>
      <c r="U15" s="188">
        <f>S15+T15</f>
        <v>25353620.899999999</v>
      </c>
      <c r="V15" s="183">
        <f>+'[4]Vyhodnocení hosp. 1.pol. 2025'!D15</f>
        <v>0</v>
      </c>
      <c r="W15" s="184">
        <f>+'[4]Vyhodnocení hosp. 1.pol. 2025'!E15</f>
        <v>0</v>
      </c>
      <c r="X15" s="185">
        <f>+'[4]Vyhodnocení hosp. 1.pol. 2025'!F15</f>
        <v>23000000</v>
      </c>
      <c r="Y15" s="186">
        <f>SUM(V15:X15)</f>
        <v>23000000</v>
      </c>
      <c r="Z15" s="187">
        <f>+'[4]Vyhodnocení hosp. 1.pol. 2025'!H15</f>
        <v>22000000</v>
      </c>
      <c r="AA15" s="188">
        <f>Y15+Z15</f>
        <v>45000000</v>
      </c>
      <c r="AB15" s="190">
        <f>(AA15/O15)</f>
        <v>1</v>
      </c>
      <c r="AC15" s="3"/>
      <c r="AD15" s="3"/>
    </row>
    <row r="16" spans="1:30" x14ac:dyDescent="0.25">
      <c r="A16" s="3"/>
      <c r="B16" s="191" t="s">
        <v>26</v>
      </c>
      <c r="C16" s="192" t="s">
        <v>27</v>
      </c>
      <c r="D16" s="193">
        <f>+'[1]Vyhodnocení hospodaření PO'!P16</f>
        <v>171816600</v>
      </c>
      <c r="E16" s="194">
        <f>+'[1]Vyhodnocení hospodaření PO'!Q16</f>
        <v>0</v>
      </c>
      <c r="F16" s="194">
        <f>+'[1]Vyhodnocení hospodaření PO'!R16</f>
        <v>0</v>
      </c>
      <c r="G16" s="195">
        <f t="shared" ref="G16:G23" si="1">SUM(D16:F16)</f>
        <v>171816600</v>
      </c>
      <c r="H16" s="196">
        <f>+'[1]Vyhodnocení hospodaření PO'!T16</f>
        <v>0</v>
      </c>
      <c r="I16" s="188">
        <f t="shared" ref="I16:I23" si="2">G16+H16</f>
        <v>171816600</v>
      </c>
      <c r="J16" s="390">
        <f>+'[3]NR 2025'!V16</f>
        <v>182750000</v>
      </c>
      <c r="K16" s="391">
        <f>+'[3]NR 2025'!W16</f>
        <v>0</v>
      </c>
      <c r="L16" s="391">
        <f>+'[3]NR 2025'!X16</f>
        <v>0</v>
      </c>
      <c r="M16" s="392">
        <f t="shared" si="0"/>
        <v>182750000</v>
      </c>
      <c r="N16" s="393">
        <f>+'[3]NR 2025'!Z16</f>
        <v>0</v>
      </c>
      <c r="O16" s="189">
        <f t="shared" ref="O16:O20" si="3">M16+N16</f>
        <v>182750000</v>
      </c>
      <c r="P16" s="193">
        <f>+'[4]Vyhodnocení hosp. 1.pol. 2025'!P16</f>
        <v>91375000</v>
      </c>
      <c r="Q16" s="194">
        <f>+'[4]Vyhodnocení hosp. 1.pol. 2025'!Q16</f>
        <v>0</v>
      </c>
      <c r="R16" s="194">
        <f>+'[4]Vyhodnocení hosp. 1.pol. 2025'!R16</f>
        <v>0</v>
      </c>
      <c r="S16" s="195">
        <f t="shared" ref="S16:S23" si="4">SUM(P16:R16)</f>
        <v>91375000</v>
      </c>
      <c r="T16" s="196">
        <f>+'[4]Vyhodnocení hosp. 1.pol. 2025'!T16</f>
        <v>0</v>
      </c>
      <c r="U16" s="188">
        <f t="shared" ref="U16:U20" si="5">S16+T16</f>
        <v>91375000</v>
      </c>
      <c r="V16" s="193">
        <f>+'[4]Vyhodnocení hosp. 1.pol. 2025'!D16+20099000-2336000-7548000-2130000+7330000</f>
        <v>198165000</v>
      </c>
      <c r="W16" s="194">
        <f>+'[4]Vyhodnocení hosp. 1.pol. 2025'!E16</f>
        <v>0</v>
      </c>
      <c r="X16" s="194">
        <f>+'[4]Vyhodnocení hosp. 1.pol. 2025'!F16</f>
        <v>0</v>
      </c>
      <c r="Y16" s="195">
        <f t="shared" ref="Y16:Y23" si="6">SUM(V16:X16)</f>
        <v>198165000</v>
      </c>
      <c r="Z16" s="196">
        <f>+'[4]Vyhodnocení hosp. 1.pol. 2025'!H16</f>
        <v>0</v>
      </c>
      <c r="AA16" s="188">
        <f t="shared" ref="AA16:AA20" si="7">Y16+Z16</f>
        <v>198165000</v>
      </c>
      <c r="AB16" s="190">
        <f t="shared" ref="AB16:AB24" si="8">(AA16/O16)</f>
        <v>1.0843502051983585</v>
      </c>
      <c r="AC16" s="3"/>
      <c r="AD16" s="3"/>
    </row>
    <row r="17" spans="1:30" x14ac:dyDescent="0.25">
      <c r="A17" s="3"/>
      <c r="B17" s="191" t="s">
        <v>28</v>
      </c>
      <c r="C17" s="197" t="s">
        <v>29</v>
      </c>
      <c r="D17" s="29">
        <f>+'[1]Vyhodnocení hospodaření PO'!P17</f>
        <v>0</v>
      </c>
      <c r="E17" s="198">
        <f>+'[1]Vyhodnocení hospodaření PO'!Q17</f>
        <v>0</v>
      </c>
      <c r="F17" s="198">
        <f>+'[1]Vyhodnocení hospodaření PO'!R17</f>
        <v>0</v>
      </c>
      <c r="G17" s="195">
        <f t="shared" si="1"/>
        <v>0</v>
      </c>
      <c r="H17" s="199">
        <f>+'[1]Vyhodnocení hospodaření PO'!T17</f>
        <v>0</v>
      </c>
      <c r="I17" s="188">
        <f t="shared" si="2"/>
        <v>0</v>
      </c>
      <c r="J17" s="342">
        <f>+'[3]NR 2025'!V17</f>
        <v>0</v>
      </c>
      <c r="K17" s="394">
        <f>+'[3]NR 2025'!W17</f>
        <v>0</v>
      </c>
      <c r="L17" s="394">
        <f>+'[3]NR 2025'!X17</f>
        <v>0</v>
      </c>
      <c r="M17" s="392">
        <f t="shared" si="0"/>
        <v>0</v>
      </c>
      <c r="N17" s="395">
        <f>+'[3]NR 2025'!Z17</f>
        <v>0</v>
      </c>
      <c r="O17" s="189">
        <f t="shared" si="3"/>
        <v>0</v>
      </c>
      <c r="P17" s="29">
        <f>+'[4]Vyhodnocení hosp. 1.pol. 2025'!P17</f>
        <v>0</v>
      </c>
      <c r="Q17" s="198">
        <f>+'[4]Vyhodnocení hosp. 1.pol. 2025'!Q17</f>
        <v>0</v>
      </c>
      <c r="R17" s="198">
        <f>+'[4]Vyhodnocení hosp. 1.pol. 2025'!R17</f>
        <v>0</v>
      </c>
      <c r="S17" s="195">
        <f t="shared" si="4"/>
        <v>0</v>
      </c>
      <c r="T17" s="199">
        <f>+'[4]Vyhodnocení hosp. 1.pol. 2025'!T17</f>
        <v>0</v>
      </c>
      <c r="U17" s="188">
        <f t="shared" si="5"/>
        <v>0</v>
      </c>
      <c r="V17" s="29">
        <f>+'[4]Vyhodnocení hosp. 1.pol. 2025'!D17</f>
        <v>0</v>
      </c>
      <c r="W17" s="198">
        <f>+'[4]Vyhodnocení hosp. 1.pol. 2025'!E17</f>
        <v>0</v>
      </c>
      <c r="X17" s="198">
        <f>+'[4]Vyhodnocení hosp. 1.pol. 2025'!F17</f>
        <v>0</v>
      </c>
      <c r="Y17" s="195">
        <f t="shared" si="6"/>
        <v>0</v>
      </c>
      <c r="Z17" s="199">
        <f>+'[4]Vyhodnocení hosp. 1.pol. 2025'!H17</f>
        <v>0</v>
      </c>
      <c r="AA17" s="188">
        <f t="shared" si="7"/>
        <v>0</v>
      </c>
      <c r="AB17" s="190" t="e">
        <f t="shared" si="8"/>
        <v>#DIV/0!</v>
      </c>
      <c r="AC17" s="3"/>
      <c r="AD17" s="3"/>
    </row>
    <row r="18" spans="1:30" x14ac:dyDescent="0.25">
      <c r="A18" s="3"/>
      <c r="B18" s="191" t="s">
        <v>30</v>
      </c>
      <c r="C18" s="200" t="s">
        <v>31</v>
      </c>
      <c r="D18" s="201">
        <f>+'[1]Vyhodnocení hospodaření PO'!P18</f>
        <v>0</v>
      </c>
      <c r="E18" s="37">
        <f>+'[1]Vyhodnocení hospodaření PO'!Q18</f>
        <v>0</v>
      </c>
      <c r="F18" s="198">
        <f>+'[1]Vyhodnocení hospodaření PO'!R18</f>
        <v>0</v>
      </c>
      <c r="G18" s="195">
        <f t="shared" si="1"/>
        <v>0</v>
      </c>
      <c r="H18" s="187">
        <f>+'[1]Vyhodnocení hospodaření PO'!T18</f>
        <v>0</v>
      </c>
      <c r="I18" s="188">
        <f t="shared" si="2"/>
        <v>0</v>
      </c>
      <c r="J18" s="396">
        <f>+'[3]NR 2025'!V18</f>
        <v>0</v>
      </c>
      <c r="K18" s="397">
        <f>+'[3]NR 2025'!W18</f>
        <v>0</v>
      </c>
      <c r="L18" s="394">
        <f>+'[3]NR 2025'!X18</f>
        <v>0</v>
      </c>
      <c r="M18" s="392">
        <f t="shared" si="0"/>
        <v>0</v>
      </c>
      <c r="N18" s="389">
        <f>+'[3]NR 2025'!Z18</f>
        <v>0</v>
      </c>
      <c r="O18" s="189">
        <f t="shared" si="3"/>
        <v>0</v>
      </c>
      <c r="P18" s="201">
        <f>+'[4]Vyhodnocení hosp. 1.pol. 2025'!P18</f>
        <v>0</v>
      </c>
      <c r="Q18" s="37">
        <f>+'[4]Vyhodnocení hosp. 1.pol. 2025'!Q18</f>
        <v>0</v>
      </c>
      <c r="R18" s="198">
        <f>+'[4]Vyhodnocení hosp. 1.pol. 2025'!R18</f>
        <v>0</v>
      </c>
      <c r="S18" s="195">
        <f t="shared" si="4"/>
        <v>0</v>
      </c>
      <c r="T18" s="187">
        <f>+'[4]Vyhodnocení hosp. 1.pol. 2025'!T18</f>
        <v>0</v>
      </c>
      <c r="U18" s="188">
        <f t="shared" si="5"/>
        <v>0</v>
      </c>
      <c r="V18" s="201">
        <f>+'[4]Vyhodnocení hosp. 1.pol. 2025'!D18</f>
        <v>0</v>
      </c>
      <c r="W18" s="37">
        <f>+'[4]Vyhodnocení hosp. 1.pol. 2025'!E18</f>
        <v>0</v>
      </c>
      <c r="X18" s="198">
        <f>+'[4]Vyhodnocení hosp. 1.pol. 2025'!F18</f>
        <v>0</v>
      </c>
      <c r="Y18" s="195">
        <f t="shared" si="6"/>
        <v>0</v>
      </c>
      <c r="Z18" s="187">
        <f>+'[4]Vyhodnocení hosp. 1.pol. 2025'!H18</f>
        <v>0</v>
      </c>
      <c r="AA18" s="188">
        <f t="shared" si="7"/>
        <v>0</v>
      </c>
      <c r="AB18" s="190" t="e">
        <f t="shared" si="8"/>
        <v>#DIV/0!</v>
      </c>
      <c r="AC18" s="3"/>
      <c r="AD18" s="3"/>
    </row>
    <row r="19" spans="1:30" x14ac:dyDescent="0.25">
      <c r="A19" s="3"/>
      <c r="B19" s="191" t="s">
        <v>32</v>
      </c>
      <c r="C19" s="202" t="s">
        <v>33</v>
      </c>
      <c r="D19" s="203">
        <f>+'[1]Vyhodnocení hospodaření PO'!P19</f>
        <v>0</v>
      </c>
      <c r="E19" s="198">
        <f>+'[1]Vyhodnocení hospodaření PO'!Q19</f>
        <v>0</v>
      </c>
      <c r="F19" s="37">
        <f>+'[1]Vyhodnocení hospodaření PO'!R19</f>
        <v>0</v>
      </c>
      <c r="G19" s="195">
        <f t="shared" si="1"/>
        <v>0</v>
      </c>
      <c r="H19" s="187">
        <f>+'[1]Vyhodnocení hospodaření PO'!T19</f>
        <v>0</v>
      </c>
      <c r="I19" s="188">
        <f t="shared" si="2"/>
        <v>0</v>
      </c>
      <c r="J19" s="398">
        <f>+'[3]NR 2025'!V19</f>
        <v>0</v>
      </c>
      <c r="K19" s="394">
        <f>+'[3]NR 2025'!W19</f>
        <v>0</v>
      </c>
      <c r="L19" s="397">
        <f>+'[3]NR 2025'!X19</f>
        <v>0</v>
      </c>
      <c r="M19" s="392">
        <f t="shared" si="0"/>
        <v>0</v>
      </c>
      <c r="N19" s="389">
        <f>+'[3]NR 2025'!Z19</f>
        <v>0</v>
      </c>
      <c r="O19" s="189">
        <f t="shared" si="3"/>
        <v>0</v>
      </c>
      <c r="P19" s="203">
        <f>+'[4]Vyhodnocení hosp. 1.pol. 2025'!P19</f>
        <v>0</v>
      </c>
      <c r="Q19" s="198">
        <f>+'[4]Vyhodnocení hosp. 1.pol. 2025'!Q19</f>
        <v>0</v>
      </c>
      <c r="R19" s="37">
        <f>+'[4]Vyhodnocení hosp. 1.pol. 2025'!R19</f>
        <v>0</v>
      </c>
      <c r="S19" s="195">
        <f t="shared" si="4"/>
        <v>0</v>
      </c>
      <c r="T19" s="187">
        <f>+'[4]Vyhodnocení hosp. 1.pol. 2025'!T19</f>
        <v>0</v>
      </c>
      <c r="U19" s="188">
        <f t="shared" si="5"/>
        <v>0</v>
      </c>
      <c r="V19" s="203">
        <f>+'[4]Vyhodnocení hosp. 1.pol. 2025'!D19</f>
        <v>0</v>
      </c>
      <c r="W19" s="198">
        <f>+'[4]Vyhodnocení hosp. 1.pol. 2025'!E19</f>
        <v>0</v>
      </c>
      <c r="X19" s="37">
        <f>+'[4]Vyhodnocení hosp. 1.pol. 2025'!F19</f>
        <v>0</v>
      </c>
      <c r="Y19" s="195">
        <f t="shared" si="6"/>
        <v>0</v>
      </c>
      <c r="Z19" s="187">
        <f>+'[4]Vyhodnocení hosp. 1.pol. 2025'!H19</f>
        <v>0</v>
      </c>
      <c r="AA19" s="188">
        <f t="shared" si="7"/>
        <v>0</v>
      </c>
      <c r="AB19" s="190" t="e">
        <f t="shared" si="8"/>
        <v>#DIV/0!</v>
      </c>
      <c r="AC19" s="3"/>
      <c r="AD19" s="3"/>
    </row>
    <row r="20" spans="1:30" x14ac:dyDescent="0.25">
      <c r="A20" s="3"/>
      <c r="B20" s="191" t="s">
        <v>34</v>
      </c>
      <c r="C20" s="204" t="s">
        <v>35</v>
      </c>
      <c r="D20" s="201">
        <f>+'[1]Vyhodnocení hospodaření PO'!P20</f>
        <v>0</v>
      </c>
      <c r="E20" s="194">
        <f>+'[1]Vyhodnocení hospodaření PO'!Q20</f>
        <v>0</v>
      </c>
      <c r="F20" s="205">
        <f>+'[1]Vyhodnocení hospodaření PO'!R20</f>
        <v>6198743.75</v>
      </c>
      <c r="G20" s="195">
        <f t="shared" si="1"/>
        <v>6198743.75</v>
      </c>
      <c r="H20" s="187">
        <f>+'[1]Vyhodnocení hospodaření PO'!T20</f>
        <v>0</v>
      </c>
      <c r="I20" s="188">
        <f t="shared" si="2"/>
        <v>6198743.75</v>
      </c>
      <c r="J20" s="396">
        <f>+'[3]NR 2025'!V20</f>
        <v>0</v>
      </c>
      <c r="K20" s="391">
        <f>+'[3]NR 2025'!W20</f>
        <v>0</v>
      </c>
      <c r="L20" s="399">
        <f>+'[3]NR 2025'!X20</f>
        <v>0</v>
      </c>
      <c r="M20" s="392">
        <f t="shared" si="0"/>
        <v>0</v>
      </c>
      <c r="N20" s="389">
        <f>+'[3]NR 2025'!Z20</f>
        <v>0</v>
      </c>
      <c r="O20" s="189">
        <f t="shared" si="3"/>
        <v>0</v>
      </c>
      <c r="P20" s="201">
        <f>+'[4]Vyhodnocení hosp. 1.pol. 2025'!P20</f>
        <v>0</v>
      </c>
      <c r="Q20" s="194">
        <f>+'[4]Vyhodnocení hosp. 1.pol. 2025'!Q20</f>
        <v>0</v>
      </c>
      <c r="R20" s="205">
        <f>+'[4]Vyhodnocení hosp. 1.pol. 2025'!R20</f>
        <v>0</v>
      </c>
      <c r="S20" s="195">
        <f t="shared" si="4"/>
        <v>0</v>
      </c>
      <c r="T20" s="187">
        <f>+'[4]Vyhodnocení hosp. 1.pol. 2025'!T20</f>
        <v>0</v>
      </c>
      <c r="U20" s="188">
        <f t="shared" si="5"/>
        <v>0</v>
      </c>
      <c r="V20" s="201">
        <f>+'[4]Vyhodnocení hosp. 1.pol. 2025'!D20</f>
        <v>0</v>
      </c>
      <c r="W20" s="194">
        <f>+'[4]Vyhodnocení hosp. 1.pol. 2025'!E20</f>
        <v>0</v>
      </c>
      <c r="X20" s="205">
        <f>+'[4]Vyhodnocení hosp. 1.pol. 2025'!F20</f>
        <v>0</v>
      </c>
      <c r="Y20" s="195">
        <f t="shared" si="6"/>
        <v>0</v>
      </c>
      <c r="Z20" s="187">
        <f>+'[4]Vyhodnocení hosp. 1.pol. 2025'!H20</f>
        <v>0</v>
      </c>
      <c r="AA20" s="188">
        <f t="shared" si="7"/>
        <v>0</v>
      </c>
      <c r="AB20" s="190" t="e">
        <f t="shared" si="8"/>
        <v>#DIV/0!</v>
      </c>
      <c r="AC20" s="3"/>
      <c r="AD20" s="3"/>
    </row>
    <row r="21" spans="1:30" x14ac:dyDescent="0.25">
      <c r="A21" s="3"/>
      <c r="B21" s="191" t="s">
        <v>36</v>
      </c>
      <c r="C21" s="206" t="s">
        <v>37</v>
      </c>
      <c r="D21" s="201">
        <f>+'[1]Vyhodnocení hospodaření PO'!P21</f>
        <v>0</v>
      </c>
      <c r="E21" s="194">
        <f>+'[1]Vyhodnocení hospodaření PO'!Q21</f>
        <v>0</v>
      </c>
      <c r="F21" s="205">
        <f>+'[1]Vyhodnocení hospodaření PO'!R21</f>
        <v>4283977.75</v>
      </c>
      <c r="G21" s="195">
        <f t="shared" si="1"/>
        <v>4283977.75</v>
      </c>
      <c r="H21" s="207">
        <f>+'[1]Vyhodnocení hospodaření PO'!T21</f>
        <v>46159.17</v>
      </c>
      <c r="I21" s="188">
        <f>G21+H21</f>
        <v>4330136.92</v>
      </c>
      <c r="J21" s="396">
        <f>+'[3]NR 2025'!V21</f>
        <v>0</v>
      </c>
      <c r="K21" s="391">
        <f>+'[3]NR 2025'!W21</f>
        <v>0</v>
      </c>
      <c r="L21" s="399">
        <f>+'[3]NR 2025'!X21</f>
        <v>3200000</v>
      </c>
      <c r="M21" s="392">
        <f t="shared" si="0"/>
        <v>3200000</v>
      </c>
      <c r="N21" s="400">
        <f>+'[3]NR 2025'!Z21</f>
        <v>0</v>
      </c>
      <c r="O21" s="189">
        <f>M21+N21</f>
        <v>3200000</v>
      </c>
      <c r="P21" s="201">
        <f>+'[4]Vyhodnocení hosp. 1.pol. 2025'!P21</f>
        <v>0</v>
      </c>
      <c r="Q21" s="194">
        <f>+'[4]Vyhodnocení hosp. 1.pol. 2025'!Q21</f>
        <v>0</v>
      </c>
      <c r="R21" s="205">
        <f>+'[4]Vyhodnocení hosp. 1.pol. 2025'!R21</f>
        <v>844227.87</v>
      </c>
      <c r="S21" s="195">
        <f t="shared" si="4"/>
        <v>844227.87</v>
      </c>
      <c r="T21" s="207">
        <f>+'[4]Vyhodnocení hosp. 1.pol. 2025'!T21</f>
        <v>7242.71</v>
      </c>
      <c r="U21" s="188">
        <f>S21+T21</f>
        <v>851470.58</v>
      </c>
      <c r="V21" s="201">
        <f>+'[4]Vyhodnocení hosp. 1.pol. 2025'!D21</f>
        <v>0</v>
      </c>
      <c r="W21" s="194">
        <f>+'[4]Vyhodnocení hosp. 1.pol. 2025'!E21</f>
        <v>0</v>
      </c>
      <c r="X21" s="205">
        <f>+'[4]Vyhodnocení hosp. 1.pol. 2025'!F21</f>
        <v>3200000</v>
      </c>
      <c r="Y21" s="195">
        <f t="shared" si="6"/>
        <v>3200000</v>
      </c>
      <c r="Z21" s="207">
        <f>+'[4]Vyhodnocení hosp. 1.pol. 2025'!H21</f>
        <v>0</v>
      </c>
      <c r="AA21" s="188">
        <f>Y21+Z21</f>
        <v>3200000</v>
      </c>
      <c r="AB21" s="190">
        <f t="shared" si="8"/>
        <v>1</v>
      </c>
      <c r="AC21" s="3"/>
      <c r="AD21" s="3"/>
    </row>
    <row r="22" spans="1:30" x14ac:dyDescent="0.25">
      <c r="A22" s="3"/>
      <c r="B22" s="191" t="s">
        <v>38</v>
      </c>
      <c r="C22" s="206" t="s">
        <v>39</v>
      </c>
      <c r="D22" s="201">
        <f>+'[1]Vyhodnocení hospodaření PO'!P22</f>
        <v>0</v>
      </c>
      <c r="E22" s="194">
        <f>+'[1]Vyhodnocení hospodaření PO'!Q22</f>
        <v>0</v>
      </c>
      <c r="F22" s="205">
        <f>+'[1]Vyhodnocení hospodaření PO'!R22</f>
        <v>0</v>
      </c>
      <c r="G22" s="195">
        <f t="shared" si="1"/>
        <v>0</v>
      </c>
      <c r="H22" s="207">
        <f>+'[1]Vyhodnocení hospodaření PO'!T22</f>
        <v>0</v>
      </c>
      <c r="I22" s="188">
        <f t="shared" si="2"/>
        <v>0</v>
      </c>
      <c r="J22" s="396">
        <f>+'[3]NR 2025'!V22</f>
        <v>0</v>
      </c>
      <c r="K22" s="391">
        <f>+'[3]NR 2025'!W22</f>
        <v>0</v>
      </c>
      <c r="L22" s="399">
        <f>+'[3]NR 2025'!X22</f>
        <v>0</v>
      </c>
      <c r="M22" s="392">
        <f t="shared" si="0"/>
        <v>0</v>
      </c>
      <c r="N22" s="400">
        <f>+'[3]NR 2025'!Z22</f>
        <v>0</v>
      </c>
      <c r="O22" s="189">
        <f t="shared" ref="O22:O23" si="9">M22+N22</f>
        <v>0</v>
      </c>
      <c r="P22" s="201">
        <f>+'[4]Vyhodnocení hosp. 1.pol. 2025'!P22</f>
        <v>0</v>
      </c>
      <c r="Q22" s="194">
        <f>+'[4]Vyhodnocení hosp. 1.pol. 2025'!Q22</f>
        <v>0</v>
      </c>
      <c r="R22" s="205">
        <f>+'[4]Vyhodnocení hosp. 1.pol. 2025'!R22</f>
        <v>0</v>
      </c>
      <c r="S22" s="195">
        <f t="shared" si="4"/>
        <v>0</v>
      </c>
      <c r="T22" s="207">
        <f>+'[4]Vyhodnocení hosp. 1.pol. 2025'!T22</f>
        <v>0</v>
      </c>
      <c r="U22" s="188">
        <f t="shared" ref="U22:U23" si="10">S22+T22</f>
        <v>0</v>
      </c>
      <c r="V22" s="201">
        <f>+'[4]Vyhodnocení hosp. 1.pol. 2025'!D22</f>
        <v>0</v>
      </c>
      <c r="W22" s="194">
        <f>+'[4]Vyhodnocení hosp. 1.pol. 2025'!E22</f>
        <v>0</v>
      </c>
      <c r="X22" s="205">
        <f>+'[4]Vyhodnocení hosp. 1.pol. 2025'!F22</f>
        <v>0</v>
      </c>
      <c r="Y22" s="195">
        <f t="shared" si="6"/>
        <v>0</v>
      </c>
      <c r="Z22" s="207">
        <f>+'[4]Vyhodnocení hosp. 1.pol. 2025'!H22</f>
        <v>0</v>
      </c>
      <c r="AA22" s="188">
        <f t="shared" ref="AA22:AA23" si="11">Y22+Z22</f>
        <v>0</v>
      </c>
      <c r="AB22" s="190" t="e">
        <f t="shared" si="8"/>
        <v>#DIV/0!</v>
      </c>
      <c r="AC22" s="3"/>
      <c r="AD22" s="3"/>
    </row>
    <row r="23" spans="1:30" ht="15.75" thickBot="1" x14ac:dyDescent="0.3">
      <c r="A23" s="3"/>
      <c r="B23" s="208" t="s">
        <v>40</v>
      </c>
      <c r="C23" s="209" t="s">
        <v>41</v>
      </c>
      <c r="D23" s="210">
        <f>+'[1]Vyhodnocení hospodaření PO'!P23</f>
        <v>0</v>
      </c>
      <c r="E23" s="211">
        <f>+'[1]Vyhodnocení hospodaření PO'!Q23</f>
        <v>0</v>
      </c>
      <c r="F23" s="212">
        <f>+'[1]Vyhodnocení hospodaření PO'!R23</f>
        <v>787672.18</v>
      </c>
      <c r="G23" s="213">
        <f t="shared" si="1"/>
        <v>787672.18</v>
      </c>
      <c r="H23" s="214">
        <f>+'[1]Vyhodnocení hospodaření PO'!T23</f>
        <v>0</v>
      </c>
      <c r="I23" s="215">
        <f t="shared" si="2"/>
        <v>787672.18</v>
      </c>
      <c r="J23" s="401">
        <f>+'[3]NR 2025'!V23</f>
        <v>0</v>
      </c>
      <c r="K23" s="402">
        <f>+'[3]NR 2025'!W23</f>
        <v>0</v>
      </c>
      <c r="L23" s="403">
        <f>+'[3]NR 2025'!X23</f>
        <v>0</v>
      </c>
      <c r="M23" s="404">
        <f t="shared" si="0"/>
        <v>0</v>
      </c>
      <c r="N23" s="405">
        <f>+'[3]NR 2025'!Z23</f>
        <v>0</v>
      </c>
      <c r="O23" s="216">
        <f t="shared" si="9"/>
        <v>0</v>
      </c>
      <c r="P23" s="210">
        <f>+'[4]Vyhodnocení hosp. 1.pol. 2025'!P23</f>
        <v>0</v>
      </c>
      <c r="Q23" s="211">
        <f>+'[4]Vyhodnocení hosp. 1.pol. 2025'!Q23</f>
        <v>0</v>
      </c>
      <c r="R23" s="212">
        <f>+'[4]Vyhodnocení hosp. 1.pol. 2025'!R23</f>
        <v>0</v>
      </c>
      <c r="S23" s="213">
        <f t="shared" si="4"/>
        <v>0</v>
      </c>
      <c r="T23" s="214">
        <f>+'[4]Vyhodnocení hosp. 1.pol. 2025'!T23</f>
        <v>0</v>
      </c>
      <c r="U23" s="215">
        <f t="shared" si="10"/>
        <v>0</v>
      </c>
      <c r="V23" s="210">
        <f>+'[4]Vyhodnocení hosp. 1.pol. 2025'!D23</f>
        <v>0</v>
      </c>
      <c r="W23" s="211">
        <f>+'[4]Vyhodnocení hosp. 1.pol. 2025'!E23</f>
        <v>0</v>
      </c>
      <c r="X23" s="212">
        <f>+'[4]Vyhodnocení hosp. 1.pol. 2025'!F23</f>
        <v>0</v>
      </c>
      <c r="Y23" s="213">
        <f t="shared" si="6"/>
        <v>0</v>
      </c>
      <c r="Z23" s="214">
        <f>+'[4]Vyhodnocení hosp. 1.pol. 2025'!H23</f>
        <v>0</v>
      </c>
      <c r="AA23" s="215">
        <f t="shared" si="11"/>
        <v>0</v>
      </c>
      <c r="AB23" s="217" t="e">
        <f t="shared" si="8"/>
        <v>#DIV/0!</v>
      </c>
      <c r="AC23" s="3"/>
      <c r="AD23" s="3"/>
    </row>
    <row r="24" spans="1:30" ht="15.75" thickBot="1" x14ac:dyDescent="0.3">
      <c r="A24" s="3"/>
      <c r="B24" s="218" t="s">
        <v>42</v>
      </c>
      <c r="C24" s="219" t="s">
        <v>43</v>
      </c>
      <c r="D24" s="220">
        <f>SUM(D15:D21)</f>
        <v>171816600</v>
      </c>
      <c r="E24" s="221">
        <f>SUM(E15:E21)</f>
        <v>0</v>
      </c>
      <c r="F24" s="221">
        <f>SUM(F15:F21)</f>
        <v>36458462.289999999</v>
      </c>
      <c r="G24" s="222">
        <f>SUM(D24:F24)</f>
        <v>208275062.28999999</v>
      </c>
      <c r="H24" s="223">
        <f>SUM(H15:H21)</f>
        <v>22557780.229999997</v>
      </c>
      <c r="I24" s="223">
        <f>SUM(I15:I21)</f>
        <v>230832842.51999998</v>
      </c>
      <c r="J24" s="224">
        <f>SUM(J15:J21)</f>
        <v>182750000</v>
      </c>
      <c r="K24" s="225">
        <f>SUM(K15:K21)</f>
        <v>0</v>
      </c>
      <c r="L24" s="225">
        <f>SUM(L15:L21)</f>
        <v>26200000</v>
      </c>
      <c r="M24" s="226">
        <f>SUM(J24:L24)</f>
        <v>208950000</v>
      </c>
      <c r="N24" s="227">
        <f>SUM(N15:N21)</f>
        <v>22000000</v>
      </c>
      <c r="O24" s="227">
        <f>SUM(O15:O21)</f>
        <v>230950000</v>
      </c>
      <c r="P24" s="220">
        <f>SUM(P15:P21)</f>
        <v>91375000</v>
      </c>
      <c r="Q24" s="221">
        <f>SUM(Q15:Q21)</f>
        <v>0</v>
      </c>
      <c r="R24" s="221">
        <f>SUM(R15:R21)</f>
        <v>14627442.509999998</v>
      </c>
      <c r="S24" s="222">
        <f>SUM(P24:R24)</f>
        <v>106002442.50999999</v>
      </c>
      <c r="T24" s="223">
        <f>SUM(T15:T21)</f>
        <v>11577648.970000001</v>
      </c>
      <c r="U24" s="223">
        <f>SUM(U15:U21)</f>
        <v>117580091.48</v>
      </c>
      <c r="V24" s="220">
        <f>SUM(V15:V21)</f>
        <v>198165000</v>
      </c>
      <c r="W24" s="221">
        <f>SUM(W15:W21)</f>
        <v>0</v>
      </c>
      <c r="X24" s="221">
        <f>SUM(X15:X21)</f>
        <v>26200000</v>
      </c>
      <c r="Y24" s="222">
        <f>SUM(V24:X24)</f>
        <v>224365000</v>
      </c>
      <c r="Z24" s="223">
        <f>SUM(Z15:Z21)</f>
        <v>22000000</v>
      </c>
      <c r="AA24" s="223">
        <f>SUM(AA15:AA21)</f>
        <v>246365000</v>
      </c>
      <c r="AB24" s="228">
        <f t="shared" si="8"/>
        <v>1.0667460489283396</v>
      </c>
      <c r="AC24" s="3"/>
      <c r="AD24" s="3"/>
    </row>
    <row r="25" spans="1:30" ht="15.75" customHeight="1" thickBot="1" x14ac:dyDescent="0.3">
      <c r="A25" s="3"/>
      <c r="B25" s="229"/>
      <c r="C25" s="230"/>
      <c r="D25" s="655" t="s">
        <v>44</v>
      </c>
      <c r="E25" s="656"/>
      <c r="F25" s="656"/>
      <c r="G25" s="657"/>
      <c r="H25" s="657"/>
      <c r="I25" s="658"/>
      <c r="J25" s="659" t="s">
        <v>44</v>
      </c>
      <c r="K25" s="660"/>
      <c r="L25" s="660"/>
      <c r="M25" s="661"/>
      <c r="N25" s="661"/>
      <c r="O25" s="662"/>
      <c r="P25" s="655" t="s">
        <v>44</v>
      </c>
      <c r="Q25" s="656"/>
      <c r="R25" s="656"/>
      <c r="S25" s="657"/>
      <c r="T25" s="657"/>
      <c r="U25" s="658"/>
      <c r="V25" s="655" t="s">
        <v>44</v>
      </c>
      <c r="W25" s="656"/>
      <c r="X25" s="656"/>
      <c r="Y25" s="657"/>
      <c r="Z25" s="657"/>
      <c r="AA25" s="658"/>
      <c r="AB25" s="663" t="s">
        <v>13</v>
      </c>
      <c r="AC25" s="3"/>
      <c r="AD25" s="3"/>
    </row>
    <row r="26" spans="1:30" ht="15.75" thickBot="1" x14ac:dyDescent="0.3">
      <c r="A26" s="3"/>
      <c r="B26" s="649" t="s">
        <v>7</v>
      </c>
      <c r="C26" s="651" t="s">
        <v>8</v>
      </c>
      <c r="D26" s="645" t="s">
        <v>45</v>
      </c>
      <c r="E26" s="646"/>
      <c r="F26" s="646"/>
      <c r="G26" s="647" t="s">
        <v>46</v>
      </c>
      <c r="H26" s="637" t="s">
        <v>47</v>
      </c>
      <c r="I26" s="639" t="s">
        <v>44</v>
      </c>
      <c r="J26" s="666" t="s">
        <v>45</v>
      </c>
      <c r="K26" s="667"/>
      <c r="L26" s="667"/>
      <c r="M26" s="668" t="s">
        <v>46</v>
      </c>
      <c r="N26" s="670" t="s">
        <v>47</v>
      </c>
      <c r="O26" s="672" t="s">
        <v>44</v>
      </c>
      <c r="P26" s="645" t="s">
        <v>45</v>
      </c>
      <c r="Q26" s="646"/>
      <c r="R26" s="646"/>
      <c r="S26" s="647" t="s">
        <v>46</v>
      </c>
      <c r="T26" s="637" t="s">
        <v>47</v>
      </c>
      <c r="U26" s="639" t="s">
        <v>44</v>
      </c>
      <c r="V26" s="645" t="s">
        <v>45</v>
      </c>
      <c r="W26" s="646"/>
      <c r="X26" s="646"/>
      <c r="Y26" s="647" t="s">
        <v>46</v>
      </c>
      <c r="Z26" s="637" t="s">
        <v>47</v>
      </c>
      <c r="AA26" s="639" t="s">
        <v>44</v>
      </c>
      <c r="AB26" s="664"/>
      <c r="AC26" s="3"/>
      <c r="AD26" s="3"/>
    </row>
    <row r="27" spans="1:30" ht="15.75" thickBot="1" x14ac:dyDescent="0.3">
      <c r="A27" s="3"/>
      <c r="B27" s="650"/>
      <c r="C27" s="652"/>
      <c r="D27" s="231" t="s">
        <v>48</v>
      </c>
      <c r="E27" s="232" t="s">
        <v>49</v>
      </c>
      <c r="F27" s="233" t="s">
        <v>50</v>
      </c>
      <c r="G27" s="648"/>
      <c r="H27" s="638"/>
      <c r="I27" s="640"/>
      <c r="J27" s="234" t="s">
        <v>48</v>
      </c>
      <c r="K27" s="235" t="s">
        <v>49</v>
      </c>
      <c r="L27" s="236" t="s">
        <v>50</v>
      </c>
      <c r="M27" s="669"/>
      <c r="N27" s="671"/>
      <c r="O27" s="673"/>
      <c r="P27" s="231" t="s">
        <v>48</v>
      </c>
      <c r="Q27" s="232" t="s">
        <v>49</v>
      </c>
      <c r="R27" s="233" t="s">
        <v>50</v>
      </c>
      <c r="S27" s="648"/>
      <c r="T27" s="638"/>
      <c r="U27" s="640"/>
      <c r="V27" s="231" t="s">
        <v>48</v>
      </c>
      <c r="W27" s="232" t="s">
        <v>49</v>
      </c>
      <c r="X27" s="233" t="s">
        <v>50</v>
      </c>
      <c r="Y27" s="648"/>
      <c r="Z27" s="638"/>
      <c r="AA27" s="640"/>
      <c r="AB27" s="665"/>
      <c r="AC27" s="3"/>
      <c r="AD27" s="3"/>
    </row>
    <row r="28" spans="1:30" x14ac:dyDescent="0.25">
      <c r="A28" s="3"/>
      <c r="B28" s="181" t="s">
        <v>51</v>
      </c>
      <c r="C28" s="182" t="s">
        <v>52</v>
      </c>
      <c r="D28" s="183">
        <f>+'[1]Vyhodnocení hospodaření PO'!P28</f>
        <v>6058721.9676106442</v>
      </c>
      <c r="E28" s="184">
        <f>+'[1]Vyhodnocení hospodaření PO'!Q28</f>
        <v>0</v>
      </c>
      <c r="F28" s="185">
        <f>+'[1]Vyhodnocení hospodaření PO'!R28</f>
        <v>915975.47238935519</v>
      </c>
      <c r="G28" s="238">
        <f>SUM(D28:F28)</f>
        <v>6974697.4399999995</v>
      </c>
      <c r="H28" s="187">
        <f>+'[1]Vyhodnocení hospodaření PO'!T28</f>
        <v>27099.17</v>
      </c>
      <c r="I28" s="239">
        <f>G28+H28</f>
        <v>7001796.6099999994</v>
      </c>
      <c r="J28" s="406">
        <f>+'[3]NR 2025'!V28</f>
        <v>6980000</v>
      </c>
      <c r="K28" s="407">
        <f>+'[3]NR 2025'!W28</f>
        <v>0</v>
      </c>
      <c r="L28" s="407">
        <f>+'[3]NR 2025'!X28</f>
        <v>1020000</v>
      </c>
      <c r="M28" s="408">
        <f t="shared" ref="M28:M38" si="12">SUM(J28:L28)</f>
        <v>8000000</v>
      </c>
      <c r="N28" s="408">
        <f>+'[3]NR 2025'!Z28</f>
        <v>130000</v>
      </c>
      <c r="O28" s="241">
        <f>M28+N28</f>
        <v>8130000</v>
      </c>
      <c r="P28" s="240">
        <f>+'[4]Vyhodnocení hosp. 1.pol. 2025'!P28</f>
        <v>2945754.6241082703</v>
      </c>
      <c r="Q28" s="237">
        <f>+'[4]Vyhodnocení hosp. 1.pol. 2025'!Q28</f>
        <v>0</v>
      </c>
      <c r="R28" s="237">
        <f>+'[4]Vyhodnocení hosp. 1.pol. 2025'!R28</f>
        <v>444344.38589172973</v>
      </c>
      <c r="S28" s="238">
        <f t="shared" ref="S28:S38" si="13">SUM(P28:R28)</f>
        <v>3390099.01</v>
      </c>
      <c r="T28" s="238">
        <f>+'[4]Vyhodnocení hosp. 1.pol. 2025'!T28</f>
        <v>20905.59</v>
      </c>
      <c r="U28" s="239">
        <f>S28+T28</f>
        <v>3411004.5999999996</v>
      </c>
      <c r="V28" s="240">
        <f>+'[4]Vyhodnocení hosp. 1.pol. 2025'!D28+2450000</f>
        <v>9430000</v>
      </c>
      <c r="W28" s="237">
        <f>+'[4]Vyhodnocení hosp. 1.pol. 2025'!E28</f>
        <v>0</v>
      </c>
      <c r="X28" s="237">
        <f>+'[4]Vyhodnocení hosp. 1.pol. 2025'!F28</f>
        <v>1020000</v>
      </c>
      <c r="Y28" s="238">
        <f t="shared" ref="Y28:Y38" si="14">SUM(V28:X28)</f>
        <v>10450000</v>
      </c>
      <c r="Z28" s="238">
        <f>+'[4]Vyhodnocení hosp. 1.pol. 2025'!H28</f>
        <v>130000</v>
      </c>
      <c r="AA28" s="239">
        <f>Y28+Z28</f>
        <v>10580000</v>
      </c>
      <c r="AB28" s="190">
        <f t="shared" ref="AB28:AB41" si="15">(AA28/O28)</f>
        <v>1.3013530135301352</v>
      </c>
      <c r="AC28" s="3"/>
      <c r="AD28" s="3"/>
    </row>
    <row r="29" spans="1:30" x14ac:dyDescent="0.25">
      <c r="A29" s="3"/>
      <c r="B29" s="191" t="s">
        <v>53</v>
      </c>
      <c r="C29" s="206" t="s">
        <v>54</v>
      </c>
      <c r="D29" s="242">
        <f>+'[1]Vyhodnocení hospodaření PO'!P29</f>
        <v>11822125.211633176</v>
      </c>
      <c r="E29" s="242">
        <f>+'[1]Vyhodnocení hospodaření PO'!Q29</f>
        <v>0</v>
      </c>
      <c r="F29" s="242">
        <f>+'[1]Vyhodnocení hospodaření PO'!R29</f>
        <v>1787303.7883668244</v>
      </c>
      <c r="G29" s="243">
        <f t="shared" ref="G29:G38" si="16">SUM(D29:F29)</f>
        <v>13609429</v>
      </c>
      <c r="H29" s="243">
        <f>+'[1]Vyhodnocení hospodaření PO'!T29</f>
        <v>2880365.6199999996</v>
      </c>
      <c r="I29" s="188">
        <f t="shared" ref="I29:I38" si="17">G29+H29</f>
        <v>16489794.619999999</v>
      </c>
      <c r="J29" s="245">
        <f>+'[3]NR 2025'!V29</f>
        <v>10692366</v>
      </c>
      <c r="K29" s="246">
        <f>+'[3]NR 2025'!W29</f>
        <v>0</v>
      </c>
      <c r="L29" s="246">
        <f>+'[3]NR 2025'!X29</f>
        <v>1430000</v>
      </c>
      <c r="M29" s="247">
        <f t="shared" si="12"/>
        <v>12122366</v>
      </c>
      <c r="N29" s="247">
        <f>+'[3]NR 2025'!Z29</f>
        <v>2300000</v>
      </c>
      <c r="O29" s="189">
        <f t="shared" ref="O29:O38" si="18">M29+N29</f>
        <v>14422366</v>
      </c>
      <c r="P29" s="244">
        <f>+'[4]Vyhodnocení hosp. 1.pol. 2025'!P29</f>
        <v>5197120.7347159078</v>
      </c>
      <c r="Q29" s="242">
        <f>+'[4]Vyhodnocení hosp. 1.pol. 2025'!Q29</f>
        <v>0</v>
      </c>
      <c r="R29" s="242">
        <f>+'[4]Vyhodnocení hosp. 1.pol. 2025'!R29</f>
        <v>783945.61528409156</v>
      </c>
      <c r="S29" s="243">
        <f t="shared" si="13"/>
        <v>5981066.3499999996</v>
      </c>
      <c r="T29" s="243">
        <f>+'[4]Vyhodnocení hosp. 1.pol. 2025'!T29</f>
        <v>1365379.65</v>
      </c>
      <c r="U29" s="188">
        <f t="shared" ref="U29:U38" si="19">S29+T29</f>
        <v>7346446</v>
      </c>
      <c r="V29" s="244">
        <f>+'[4]Vyhodnocení hosp. 1.pol. 2025'!D29+200000+10000</f>
        <v>10902366</v>
      </c>
      <c r="W29" s="242">
        <f>+'[4]Vyhodnocení hosp. 1.pol. 2025'!E29</f>
        <v>0</v>
      </c>
      <c r="X29" s="242">
        <f>+'[4]Vyhodnocení hosp. 1.pol. 2025'!F29</f>
        <v>1430000</v>
      </c>
      <c r="Y29" s="243">
        <f t="shared" si="14"/>
        <v>12332366</v>
      </c>
      <c r="Z29" s="243">
        <f>+'[4]Vyhodnocení hosp. 1.pol. 2025'!H29</f>
        <v>2300000</v>
      </c>
      <c r="AA29" s="188">
        <f t="shared" ref="AA29:AA38" si="20">Y29+Z29</f>
        <v>14632366</v>
      </c>
      <c r="AB29" s="190">
        <f t="shared" si="15"/>
        <v>1.0145607177074829</v>
      </c>
      <c r="AC29" s="3"/>
      <c r="AD29" s="3"/>
    </row>
    <row r="30" spans="1:30" x14ac:dyDescent="0.25">
      <c r="A30" s="3"/>
      <c r="B30" s="191" t="s">
        <v>55</v>
      </c>
      <c r="C30" s="206" t="s">
        <v>56</v>
      </c>
      <c r="D30" s="242">
        <f>+'[1]Vyhodnocení hospodaření PO'!P30</f>
        <v>15944048.526924303</v>
      </c>
      <c r="E30" s="242">
        <f>+'[1]Vyhodnocení hospodaření PO'!Q30</f>
        <v>0</v>
      </c>
      <c r="F30" s="242">
        <f>+'[1]Vyhodnocení hospodaření PO'!R30</f>
        <v>2410468.3230756926</v>
      </c>
      <c r="G30" s="243">
        <f t="shared" si="16"/>
        <v>18354516.849999994</v>
      </c>
      <c r="H30" s="243">
        <f>+'[1]Vyhodnocení hospodaření PO'!T30</f>
        <v>181274.37</v>
      </c>
      <c r="I30" s="188">
        <f t="shared" si="17"/>
        <v>18535791.219999995</v>
      </c>
      <c r="J30" s="245">
        <f>+'[3]NR 2025'!V30</f>
        <v>19011472</v>
      </c>
      <c r="K30" s="246">
        <f>+'[3]NR 2025'!W30</f>
        <v>0</v>
      </c>
      <c r="L30" s="246">
        <f>+'[3]NR 2025'!X30</f>
        <v>1700000</v>
      </c>
      <c r="M30" s="247">
        <f t="shared" si="12"/>
        <v>20711472</v>
      </c>
      <c r="N30" s="247">
        <f>+'[3]NR 2025'!Z30</f>
        <v>70000</v>
      </c>
      <c r="O30" s="189">
        <f t="shared" si="18"/>
        <v>20781472</v>
      </c>
      <c r="P30" s="244">
        <f>+'[4]Vyhodnocení hosp. 1.pol. 2025'!P30</f>
        <v>6094286.693188386</v>
      </c>
      <c r="Q30" s="242">
        <f>+'[4]Vyhodnocení hosp. 1.pol. 2025'!Q30</f>
        <v>0</v>
      </c>
      <c r="R30" s="242">
        <f>+'[4]Vyhodnocení hosp. 1.pol. 2025'!R30</f>
        <v>919276.18681161525</v>
      </c>
      <c r="S30" s="243">
        <f t="shared" si="13"/>
        <v>7013562.8800000008</v>
      </c>
      <c r="T30" s="243">
        <f>+'[4]Vyhodnocení hosp. 1.pol. 2025'!T30</f>
        <v>54076.520000000004</v>
      </c>
      <c r="U30" s="188">
        <f t="shared" si="19"/>
        <v>7067639.4000000004</v>
      </c>
      <c r="V30" s="244">
        <f>+'[4]Vyhodnocení hosp. 1.pol. 2025'!D30</f>
        <v>19011472</v>
      </c>
      <c r="W30" s="242">
        <f>+'[4]Vyhodnocení hosp. 1.pol. 2025'!E30</f>
        <v>0</v>
      </c>
      <c r="X30" s="242">
        <f>+'[4]Vyhodnocení hosp. 1.pol. 2025'!F30</f>
        <v>1700000</v>
      </c>
      <c r="Y30" s="243">
        <f t="shared" si="14"/>
        <v>20711472</v>
      </c>
      <c r="Z30" s="243">
        <f>+'[4]Vyhodnocení hosp. 1.pol. 2025'!H30</f>
        <v>70000</v>
      </c>
      <c r="AA30" s="188">
        <f t="shared" si="20"/>
        <v>20781472</v>
      </c>
      <c r="AB30" s="190">
        <f t="shared" si="15"/>
        <v>1</v>
      </c>
      <c r="AC30" s="3"/>
      <c r="AD30" s="3"/>
    </row>
    <row r="31" spans="1:30" x14ac:dyDescent="0.25">
      <c r="A31" s="3"/>
      <c r="B31" s="191" t="s">
        <v>57</v>
      </c>
      <c r="C31" s="206" t="s">
        <v>58</v>
      </c>
      <c r="D31" s="242">
        <f>+'[1]Vyhodnocení hospodaření PO'!P31</f>
        <v>40642700.379515946</v>
      </c>
      <c r="E31" s="242">
        <f>+'[1]Vyhodnocení hospodaření PO'!Q31</f>
        <v>0</v>
      </c>
      <c r="F31" s="242">
        <f>+'[1]Vyhodnocení hospodaření PO'!R31</f>
        <v>6144483.4204840558</v>
      </c>
      <c r="G31" s="243">
        <f t="shared" si="16"/>
        <v>46787183.800000004</v>
      </c>
      <c r="H31" s="243">
        <f>+'[1]Vyhodnocení hospodaření PO'!T31</f>
        <v>5322253.42</v>
      </c>
      <c r="I31" s="188">
        <f t="shared" si="17"/>
        <v>52109437.220000006</v>
      </c>
      <c r="J31" s="245">
        <f>+'[3]NR 2025'!V31</f>
        <v>36404789</v>
      </c>
      <c r="K31" s="246">
        <f>+'[3]NR 2025'!W31</f>
        <v>0</v>
      </c>
      <c r="L31" s="246">
        <f>+'[3]NR 2025'!X31</f>
        <v>5000000</v>
      </c>
      <c r="M31" s="247">
        <f t="shared" si="12"/>
        <v>41404789</v>
      </c>
      <c r="N31" s="247">
        <f>+'[3]NR 2025'!Z31</f>
        <v>4000000</v>
      </c>
      <c r="O31" s="189">
        <f t="shared" si="18"/>
        <v>45404789</v>
      </c>
      <c r="P31" s="244">
        <f>+'[4]Vyhodnocení hosp. 1.pol. 2025'!P31</f>
        <v>19264556.655728135</v>
      </c>
      <c r="Q31" s="242">
        <f>+'[4]Vyhodnocení hosp. 1.pol. 2025'!Q31</f>
        <v>0</v>
      </c>
      <c r="R31" s="242">
        <f>+'[4]Vyhodnocení hosp. 1.pol. 2025'!R31</f>
        <v>2905909.924271863</v>
      </c>
      <c r="S31" s="243">
        <f t="shared" si="13"/>
        <v>22170466.579999998</v>
      </c>
      <c r="T31" s="243">
        <f>+'[4]Vyhodnocení hosp. 1.pol. 2025'!T31</f>
        <v>2595569.3200000003</v>
      </c>
      <c r="U31" s="188">
        <f t="shared" si="19"/>
        <v>24766035.899999999</v>
      </c>
      <c r="V31" s="244">
        <f>+'[4]Vyhodnocení hosp. 1.pol. 2025'!D31+1000000+2475000+300000</f>
        <v>40179789</v>
      </c>
      <c r="W31" s="242">
        <f>+'[4]Vyhodnocení hosp. 1.pol. 2025'!E31</f>
        <v>0</v>
      </c>
      <c r="X31" s="242">
        <f>+'[4]Vyhodnocení hosp. 1.pol. 2025'!F31</f>
        <v>5000000</v>
      </c>
      <c r="Y31" s="243">
        <f t="shared" si="14"/>
        <v>45179789</v>
      </c>
      <c r="Z31" s="243">
        <f>+'[4]Vyhodnocení hosp. 1.pol. 2025'!H31</f>
        <v>4000000</v>
      </c>
      <c r="AA31" s="188">
        <f t="shared" si="20"/>
        <v>49179789</v>
      </c>
      <c r="AB31" s="190">
        <f t="shared" si="15"/>
        <v>1.0831410096410756</v>
      </c>
      <c r="AC31" s="3"/>
      <c r="AD31" s="3"/>
    </row>
    <row r="32" spans="1:30" x14ac:dyDescent="0.25">
      <c r="A32" s="3"/>
      <c r="B32" s="191" t="s">
        <v>59</v>
      </c>
      <c r="C32" s="206" t="s">
        <v>60</v>
      </c>
      <c r="D32" s="248">
        <f>+'[1]Vyhodnocení hospodaření PO'!P32</f>
        <v>59197945.514926136</v>
      </c>
      <c r="E32" s="242">
        <f>+'[1]Vyhodnocení hospodaření PO'!Q32</f>
        <v>0</v>
      </c>
      <c r="F32" s="242">
        <f>+'[1]Vyhodnocení hospodaření PO'!R32</f>
        <v>8949720.1550738662</v>
      </c>
      <c r="G32" s="243">
        <f t="shared" si="16"/>
        <v>68147665.670000002</v>
      </c>
      <c r="H32" s="243">
        <f>+'[1]Vyhodnocení hospodaření PO'!T32</f>
        <v>4122268.2199999997</v>
      </c>
      <c r="I32" s="188">
        <f t="shared" si="17"/>
        <v>72269933.890000001</v>
      </c>
      <c r="J32" s="245">
        <f>+'[3]NR 2025'!V32</f>
        <v>67055348</v>
      </c>
      <c r="K32" s="246">
        <f>+'[3]NR 2025'!W32</f>
        <v>0</v>
      </c>
      <c r="L32" s="246">
        <f>+'[3]NR 2025'!X32</f>
        <v>8100000</v>
      </c>
      <c r="M32" s="247">
        <f t="shared" si="12"/>
        <v>75155348</v>
      </c>
      <c r="N32" s="247">
        <f>+'[3]NR 2025'!Z32</f>
        <v>3300000</v>
      </c>
      <c r="O32" s="189">
        <f t="shared" si="18"/>
        <v>78455348</v>
      </c>
      <c r="P32" s="244">
        <f>+'[4]Vyhodnocení hosp. 1.pol. 2025'!P32</f>
        <v>29217285.484788068</v>
      </c>
      <c r="Q32" s="242">
        <f>+'[4]Vyhodnocení hosp. 1.pol. 2025'!Q32</f>
        <v>0</v>
      </c>
      <c r="R32" s="242">
        <f>+'[4]Vyhodnocení hosp. 1.pol. 2025'!R32</f>
        <v>4407202.3752119327</v>
      </c>
      <c r="S32" s="243">
        <f t="shared" si="13"/>
        <v>33624487.859999999</v>
      </c>
      <c r="T32" s="243">
        <f>+'[4]Vyhodnocení hosp. 1.pol. 2025'!T32</f>
        <v>2033368.14</v>
      </c>
      <c r="U32" s="188">
        <f t="shared" si="19"/>
        <v>35657856</v>
      </c>
      <c r="V32" s="244">
        <f>+V33+V34</f>
        <v>72445348</v>
      </c>
      <c r="W32" s="242">
        <f>+'[4]Vyhodnocení hosp. 1.pol. 2025'!E32</f>
        <v>0</v>
      </c>
      <c r="X32" s="242">
        <f>+'[4]Vyhodnocení hosp. 1.pol. 2025'!F32</f>
        <v>8100000</v>
      </c>
      <c r="Y32" s="243">
        <f t="shared" si="14"/>
        <v>80545348</v>
      </c>
      <c r="Z32" s="243">
        <f>+'[4]Vyhodnocení hosp. 1.pol. 2025'!H32</f>
        <v>3300000</v>
      </c>
      <c r="AA32" s="188">
        <f t="shared" si="20"/>
        <v>83845348</v>
      </c>
      <c r="AB32" s="190">
        <f t="shared" si="15"/>
        <v>1.0687014988449226</v>
      </c>
      <c r="AC32" s="3"/>
      <c r="AD32" s="3"/>
    </row>
    <row r="33" spans="1:30" x14ac:dyDescent="0.25">
      <c r="A33" s="3"/>
      <c r="B33" s="191" t="s">
        <v>61</v>
      </c>
      <c r="C33" s="202" t="s">
        <v>62</v>
      </c>
      <c r="D33" s="248">
        <f>+'[1]Vyhodnocení hospodaření PO'!P33</f>
        <v>58311619.845986672</v>
      </c>
      <c r="E33" s="242">
        <f>+'[1]Vyhodnocení hospodaření PO'!Q33</f>
        <v>0</v>
      </c>
      <c r="F33" s="242">
        <f>+'[1]Vyhodnocení hospodaření PO'!R33</f>
        <v>8815722.8240133356</v>
      </c>
      <c r="G33" s="243">
        <f t="shared" si="16"/>
        <v>67127342.670000002</v>
      </c>
      <c r="H33" s="243">
        <f>+'[1]Vyhodnocení hospodaření PO'!T33</f>
        <v>4122268.2199999997</v>
      </c>
      <c r="I33" s="188">
        <f t="shared" si="17"/>
        <v>71249610.890000001</v>
      </c>
      <c r="J33" s="245">
        <f>+'[3]NR 2025'!V33</f>
        <v>66155348</v>
      </c>
      <c r="K33" s="246">
        <f>+'[3]NR 2025'!W33</f>
        <v>0</v>
      </c>
      <c r="L33" s="246">
        <f>+'[3]NR 2025'!X33</f>
        <v>7900000</v>
      </c>
      <c r="M33" s="247">
        <f t="shared" si="12"/>
        <v>74055348</v>
      </c>
      <c r="N33" s="247">
        <f>+'[3]NR 2025'!Z33</f>
        <v>3300000</v>
      </c>
      <c r="O33" s="189">
        <f t="shared" si="18"/>
        <v>77355348</v>
      </c>
      <c r="P33" s="244">
        <f>+'[4]Vyhodnocení hosp. 1.pol. 2025'!P33</f>
        <v>28627356.696653213</v>
      </c>
      <c r="Q33" s="242">
        <f>+'[4]Vyhodnocení hosp. 1.pol. 2025'!Q33</f>
        <v>0</v>
      </c>
      <c r="R33" s="242">
        <f>+'[4]Vyhodnocení hosp. 1.pol. 2025'!R33</f>
        <v>4318216.1633467861</v>
      </c>
      <c r="S33" s="243">
        <f t="shared" si="13"/>
        <v>32945572.859999999</v>
      </c>
      <c r="T33" s="243">
        <f>+'[4]Vyhodnocení hosp. 1.pol. 2025'!T33</f>
        <v>2033368.14</v>
      </c>
      <c r="U33" s="188">
        <f t="shared" si="19"/>
        <v>34978941</v>
      </c>
      <c r="V33" s="244">
        <f>+'[4]Vyhodnocení hosp. 1.pol. 2025'!D33+2750000+2640000</f>
        <v>71545348</v>
      </c>
      <c r="W33" s="242">
        <f>+'[4]Vyhodnocení hosp. 1.pol. 2025'!E33</f>
        <v>0</v>
      </c>
      <c r="X33" s="242">
        <f>+'[4]Vyhodnocení hosp. 1.pol. 2025'!F33</f>
        <v>7900000</v>
      </c>
      <c r="Y33" s="243">
        <f>SUM(V33:X33)</f>
        <v>79445348</v>
      </c>
      <c r="Z33" s="243">
        <f>+'[4]Vyhodnocení hosp. 1.pol. 2025'!H33</f>
        <v>3300000</v>
      </c>
      <c r="AA33" s="188">
        <f t="shared" si="20"/>
        <v>82745348</v>
      </c>
      <c r="AB33" s="190">
        <f t="shared" si="15"/>
        <v>1.0696784403322703</v>
      </c>
      <c r="AC33" s="3"/>
      <c r="AD33" s="3"/>
    </row>
    <row r="34" spans="1:30" x14ac:dyDescent="0.25">
      <c r="A34" s="3"/>
      <c r="B34" s="191" t="s">
        <v>63</v>
      </c>
      <c r="C34" s="250" t="s">
        <v>64</v>
      </c>
      <c r="D34" s="248">
        <f>+'[1]Vyhodnocení hospodaření PO'!P34</f>
        <v>886325.6689394681</v>
      </c>
      <c r="E34" s="242">
        <f>+'[1]Vyhodnocení hospodaření PO'!Q34</f>
        <v>0</v>
      </c>
      <c r="F34" s="242">
        <f>+'[1]Vyhodnocení hospodaření PO'!R34</f>
        <v>133997.33106053187</v>
      </c>
      <c r="G34" s="243">
        <f t="shared" si="16"/>
        <v>1020323</v>
      </c>
      <c r="H34" s="243">
        <f>+'[1]Vyhodnocení hospodaření PO'!T34</f>
        <v>0</v>
      </c>
      <c r="I34" s="188">
        <f t="shared" si="17"/>
        <v>1020323</v>
      </c>
      <c r="J34" s="245">
        <f>+'[3]NR 2025'!V34</f>
        <v>900000</v>
      </c>
      <c r="K34" s="246">
        <f>+'[3]NR 2025'!W34</f>
        <v>0</v>
      </c>
      <c r="L34" s="246">
        <f>+'[3]NR 2025'!X34</f>
        <v>200000</v>
      </c>
      <c r="M34" s="247">
        <f t="shared" si="12"/>
        <v>1100000</v>
      </c>
      <c r="N34" s="247">
        <f>+'[3]NR 2025'!Z34</f>
        <v>0</v>
      </c>
      <c r="O34" s="189">
        <f t="shared" si="18"/>
        <v>1100000</v>
      </c>
      <c r="P34" s="244">
        <f>+'[4]Vyhodnocení hosp. 1.pol. 2025'!P34</f>
        <v>589928.78813485347</v>
      </c>
      <c r="Q34" s="242">
        <f>+'[4]Vyhodnocení hosp. 1.pol. 2025'!Q34</f>
        <v>0</v>
      </c>
      <c r="R34" s="242">
        <f>+'[4]Vyhodnocení hosp. 1.pol. 2025'!R34</f>
        <v>88986.211865146586</v>
      </c>
      <c r="S34" s="243">
        <f t="shared" si="13"/>
        <v>678915</v>
      </c>
      <c r="T34" s="243">
        <f>+'[4]Vyhodnocení hosp. 1.pol. 2025'!T34</f>
        <v>0</v>
      </c>
      <c r="U34" s="188">
        <f t="shared" si="19"/>
        <v>678915</v>
      </c>
      <c r="V34" s="244">
        <f>+'[4]Vyhodnocení hosp. 1.pol. 2025'!D34</f>
        <v>900000</v>
      </c>
      <c r="W34" s="242">
        <f>+'[4]Vyhodnocení hosp. 1.pol. 2025'!E34</f>
        <v>0</v>
      </c>
      <c r="X34" s="242">
        <f>+'[4]Vyhodnocení hosp. 1.pol. 2025'!F34</f>
        <v>200000</v>
      </c>
      <c r="Y34" s="243">
        <f t="shared" si="14"/>
        <v>1100000</v>
      </c>
      <c r="Z34" s="243">
        <f>+'[4]Vyhodnocení hosp. 1.pol. 2025'!H34</f>
        <v>0</v>
      </c>
      <c r="AA34" s="188">
        <f t="shared" si="20"/>
        <v>1100000</v>
      </c>
      <c r="AB34" s="190">
        <f t="shared" si="15"/>
        <v>1</v>
      </c>
      <c r="AC34" s="3"/>
      <c r="AD34" s="3"/>
    </row>
    <row r="35" spans="1:30" x14ac:dyDescent="0.25">
      <c r="A35" s="3"/>
      <c r="B35" s="191" t="s">
        <v>65</v>
      </c>
      <c r="C35" s="206" t="s">
        <v>66</v>
      </c>
      <c r="D35" s="248">
        <f>+'[1]Vyhodnocení hospodaření PO'!P35</f>
        <v>20476746.14979174</v>
      </c>
      <c r="E35" s="242">
        <f>+'[1]Vyhodnocení hospodaření PO'!Q35</f>
        <v>0</v>
      </c>
      <c r="F35" s="242">
        <f>+'[1]Vyhodnocení hospodaření PO'!R35</f>
        <v>3095734.9302082616</v>
      </c>
      <c r="G35" s="243">
        <f t="shared" si="16"/>
        <v>23572481.080000002</v>
      </c>
      <c r="H35" s="243">
        <f>+'[1]Vyhodnocení hospodaření PO'!T35</f>
        <v>1523795.9100000001</v>
      </c>
      <c r="I35" s="188">
        <f t="shared" si="17"/>
        <v>25096276.990000002</v>
      </c>
      <c r="J35" s="245">
        <f>+'[3]NR 2025'!V35</f>
        <v>22714618</v>
      </c>
      <c r="K35" s="246">
        <f>+'[3]NR 2025'!W35</f>
        <v>0</v>
      </c>
      <c r="L35" s="246">
        <f>+'[3]NR 2025'!X35</f>
        <v>2670000</v>
      </c>
      <c r="M35" s="247">
        <f t="shared" si="12"/>
        <v>25384618</v>
      </c>
      <c r="N35" s="247">
        <f>+'[3]NR 2025'!Z35</f>
        <v>1150000</v>
      </c>
      <c r="O35" s="189">
        <f t="shared" si="18"/>
        <v>26534618</v>
      </c>
      <c r="P35" s="244">
        <f>+'[4]Vyhodnocení hosp. 1.pol. 2025'!P35</f>
        <v>10051311.007142637</v>
      </c>
      <c r="Q35" s="242">
        <f>+'[4]Vyhodnocení hosp. 1.pol. 2025'!Q35</f>
        <v>0</v>
      </c>
      <c r="R35" s="242">
        <f>+'[4]Vyhodnocení hosp. 1.pol. 2025'!R35</f>
        <v>1516162.8128573629</v>
      </c>
      <c r="S35" s="243">
        <f t="shared" si="13"/>
        <v>11567473.82</v>
      </c>
      <c r="T35" s="243">
        <f>+'[4]Vyhodnocení hosp. 1.pol. 2025'!T35</f>
        <v>749659.65</v>
      </c>
      <c r="U35" s="188">
        <f t="shared" si="19"/>
        <v>12317133.470000001</v>
      </c>
      <c r="V35" s="244">
        <f>+'[4]Vyhodnocení hosp. 1.pol. 2025'!D35+990000+950000+1650000</f>
        <v>26304618</v>
      </c>
      <c r="W35" s="242">
        <f>+'[4]Vyhodnocení hosp. 1.pol. 2025'!E35</f>
        <v>0</v>
      </c>
      <c r="X35" s="242">
        <f>+'[4]Vyhodnocení hosp. 1.pol. 2025'!F35</f>
        <v>2670000</v>
      </c>
      <c r="Y35" s="243">
        <f t="shared" si="14"/>
        <v>28974618</v>
      </c>
      <c r="Z35" s="243">
        <f>+'[4]Vyhodnocení hosp. 1.pol. 2025'!H35</f>
        <v>1150000</v>
      </c>
      <c r="AA35" s="188">
        <f t="shared" si="20"/>
        <v>30124618</v>
      </c>
      <c r="AB35" s="190">
        <f t="shared" si="15"/>
        <v>1.1352949569502</v>
      </c>
      <c r="AC35" s="3"/>
      <c r="AD35" s="3"/>
    </row>
    <row r="36" spans="1:30" x14ac:dyDescent="0.25">
      <c r="A36" s="3"/>
      <c r="B36" s="191" t="s">
        <v>67</v>
      </c>
      <c r="C36" s="206" t="s">
        <v>68</v>
      </c>
      <c r="D36" s="242">
        <f>+'[1]Vyhodnocení hospodaření PO'!P36</f>
        <v>33632.360462647011</v>
      </c>
      <c r="E36" s="242">
        <f>+'[1]Vyhodnocení hospodaření PO'!Q36</f>
        <v>0</v>
      </c>
      <c r="F36" s="242">
        <f>+'[1]Vyhodnocení hospodaření PO'!R36</f>
        <v>5084.6395373529876</v>
      </c>
      <c r="G36" s="243">
        <f t="shared" si="16"/>
        <v>38717</v>
      </c>
      <c r="H36" s="243">
        <f>+'[1]Vyhodnocení hospodaření PO'!T36</f>
        <v>104251.17</v>
      </c>
      <c r="I36" s="188">
        <f t="shared" si="17"/>
        <v>142968.16999999998</v>
      </c>
      <c r="J36" s="245">
        <f>+'[3]NR 2025'!V36</f>
        <v>60000</v>
      </c>
      <c r="K36" s="246">
        <f>+'[3]NR 2025'!W36</f>
        <v>0</v>
      </c>
      <c r="L36" s="246">
        <f>+'[3]NR 2025'!X36</f>
        <v>10000</v>
      </c>
      <c r="M36" s="247">
        <f t="shared" si="12"/>
        <v>70000</v>
      </c>
      <c r="N36" s="247">
        <f>+'[3]NR 2025'!Z36</f>
        <v>250000</v>
      </c>
      <c r="O36" s="189">
        <f t="shared" si="18"/>
        <v>320000</v>
      </c>
      <c r="P36" s="244">
        <f>+'[4]Vyhodnocení hosp. 1.pol. 2025'!P36</f>
        <v>27892.648853362083</v>
      </c>
      <c r="Q36" s="242">
        <f>+'[4]Vyhodnocení hosp. 1.pol. 2025'!Q36</f>
        <v>0</v>
      </c>
      <c r="R36" s="242">
        <f>+'[4]Vyhodnocení hosp. 1.pol. 2025'!R36</f>
        <v>4207.391146637915</v>
      </c>
      <c r="S36" s="243">
        <f t="shared" si="13"/>
        <v>32100.039999999997</v>
      </c>
      <c r="T36" s="243">
        <f>+'[4]Vyhodnocení hosp. 1.pol. 2025'!T36</f>
        <v>4938.05</v>
      </c>
      <c r="U36" s="188">
        <f t="shared" si="19"/>
        <v>37038.089999999997</v>
      </c>
      <c r="V36" s="244">
        <f>+'[4]Vyhodnocení hosp. 1.pol. 2025'!D36</f>
        <v>60000</v>
      </c>
      <c r="W36" s="242">
        <f>+'[4]Vyhodnocení hosp. 1.pol. 2025'!E36</f>
        <v>0</v>
      </c>
      <c r="X36" s="242">
        <f>+'[4]Vyhodnocení hosp. 1.pol. 2025'!F36</f>
        <v>10000</v>
      </c>
      <c r="Y36" s="243">
        <f t="shared" si="14"/>
        <v>70000</v>
      </c>
      <c r="Z36" s="243">
        <f>+'[4]Vyhodnocení hosp. 1.pol. 2025'!H36</f>
        <v>250000</v>
      </c>
      <c r="AA36" s="188">
        <f t="shared" si="20"/>
        <v>320000</v>
      </c>
      <c r="AB36" s="190">
        <f t="shared" si="15"/>
        <v>1</v>
      </c>
      <c r="AC36" s="3"/>
      <c r="AD36" s="3"/>
    </row>
    <row r="37" spans="1:30" x14ac:dyDescent="0.25">
      <c r="A37" s="3"/>
      <c r="B37" s="191" t="s">
        <v>69</v>
      </c>
      <c r="C37" s="206" t="s">
        <v>70</v>
      </c>
      <c r="D37" s="242">
        <f>+'[1]Vyhodnocení hospodaření PO'!P37</f>
        <v>17216993.029323842</v>
      </c>
      <c r="E37" s="242">
        <f>+'[1]Vyhodnocení hospodaření PO'!Q37</f>
        <v>0</v>
      </c>
      <c r="F37" s="242">
        <f>+'[1]Vyhodnocení hospodaření PO'!R37</f>
        <v>2602915.8306761575</v>
      </c>
      <c r="G37" s="243">
        <f t="shared" si="16"/>
        <v>19819908.859999999</v>
      </c>
      <c r="H37" s="243">
        <f>+'[1]Vyhodnocení hospodaření PO'!T37</f>
        <v>2194347.8200000003</v>
      </c>
      <c r="I37" s="188">
        <f t="shared" si="17"/>
        <v>22014256.68</v>
      </c>
      <c r="J37" s="245">
        <f>+'[3]NR 2025'!V37</f>
        <v>21828407</v>
      </c>
      <c r="K37" s="246">
        <f>+'[3]NR 2025'!W37</f>
        <v>0</v>
      </c>
      <c r="L37" s="246">
        <f>+'[3]NR 2025'!X37</f>
        <v>2250000</v>
      </c>
      <c r="M37" s="247">
        <f t="shared" si="12"/>
        <v>24078407</v>
      </c>
      <c r="N37" s="247">
        <f>+'[3]NR 2025'!Z37</f>
        <v>1000000</v>
      </c>
      <c r="O37" s="189">
        <f t="shared" si="18"/>
        <v>25078407</v>
      </c>
      <c r="P37" s="244">
        <f>+'[4]Vyhodnocení hosp. 1.pol. 2025'!P37</f>
        <v>9121721.9528338313</v>
      </c>
      <c r="Q37" s="242">
        <f>+'[4]Vyhodnocení hosp. 1.pol. 2025'!Q37</f>
        <v>0</v>
      </c>
      <c r="R37" s="242">
        <f>+'[4]Vyhodnocení hosp. 1.pol. 2025'!R37</f>
        <v>1375941.4671661686</v>
      </c>
      <c r="S37" s="243">
        <f t="shared" si="13"/>
        <v>10497663.42</v>
      </c>
      <c r="T37" s="243">
        <f>+'[4]Vyhodnocení hosp. 1.pol. 2025'!T37</f>
        <v>1031025.5800000001</v>
      </c>
      <c r="U37" s="188">
        <f t="shared" si="19"/>
        <v>11528689</v>
      </c>
      <c r="V37" s="244">
        <f>+'[4]Vyhodnocení hosp. 1.pol. 2025'!D37</f>
        <v>21828407</v>
      </c>
      <c r="W37" s="242">
        <f>+'[4]Vyhodnocení hosp. 1.pol. 2025'!E37</f>
        <v>0</v>
      </c>
      <c r="X37" s="242">
        <f>+'[4]Vyhodnocení hosp. 1.pol. 2025'!F37</f>
        <v>2250000</v>
      </c>
      <c r="Y37" s="243">
        <f t="shared" si="14"/>
        <v>24078407</v>
      </c>
      <c r="Z37" s="243">
        <f>+'[4]Vyhodnocení hosp. 1.pol. 2025'!H37</f>
        <v>1000000</v>
      </c>
      <c r="AA37" s="188">
        <f t="shared" si="20"/>
        <v>25078407</v>
      </c>
      <c r="AB37" s="190">
        <f t="shared" si="15"/>
        <v>1</v>
      </c>
      <c r="AC37" s="3"/>
      <c r="AD37" s="3"/>
    </row>
    <row r="38" spans="1:30" ht="15.75" thickBot="1" x14ac:dyDescent="0.3">
      <c r="A38" s="3"/>
      <c r="B38" s="409" t="s">
        <v>71</v>
      </c>
      <c r="C38" s="251" t="s">
        <v>72</v>
      </c>
      <c r="D38" s="85">
        <f>+'[1]Vyhodnocení hospodaření PO'!P38</f>
        <v>12326341.399853583</v>
      </c>
      <c r="E38" s="85">
        <f>+'[1]Vyhodnocení hospodaření PO'!Q38</f>
        <v>0</v>
      </c>
      <c r="F38" s="85">
        <f>+'[1]Vyhodnocení hospodaření PO'!R38</f>
        <v>1863532.6801464031</v>
      </c>
      <c r="G38" s="243">
        <f t="shared" si="16"/>
        <v>14189874.079999987</v>
      </c>
      <c r="H38" s="252">
        <f>+'[1]Vyhodnocení hospodaření PO'!T38</f>
        <v>2950453.8699999996</v>
      </c>
      <c r="I38" s="215">
        <f t="shared" si="17"/>
        <v>17140327.949999988</v>
      </c>
      <c r="J38" s="410">
        <f>+'[3]NR 2025'!V38</f>
        <v>8440000</v>
      </c>
      <c r="K38" s="411">
        <f>+'[3]NR 2025'!W38</f>
        <v>0</v>
      </c>
      <c r="L38" s="411">
        <f>+'[3]NR 2025'!X38</f>
        <v>1100000</v>
      </c>
      <c r="M38" s="412">
        <f t="shared" si="12"/>
        <v>9540000</v>
      </c>
      <c r="N38" s="412">
        <f>+'[3]NR 2025'!Z38</f>
        <v>2283000</v>
      </c>
      <c r="O38" s="216">
        <f t="shared" si="18"/>
        <v>11823000</v>
      </c>
      <c r="P38" s="253">
        <f>+'[4]Vyhodnocení hosp. 1.pol. 2025'!P38</f>
        <v>12179540.71521789</v>
      </c>
      <c r="Q38" s="85">
        <f>+'[4]Vyhodnocení hosp. 1.pol. 2025'!Q38</f>
        <v>0</v>
      </c>
      <c r="R38" s="85">
        <f>+'[4]Vyhodnocení hosp. 1.pol. 2025'!R38</f>
        <v>1837189.864782132</v>
      </c>
      <c r="S38" s="252">
        <f t="shared" si="13"/>
        <v>14016730.580000022</v>
      </c>
      <c r="T38" s="252">
        <f>+'[4]Vyhodnocení hosp. 1.pol. 2025'!T38</f>
        <v>1205902.5</v>
      </c>
      <c r="U38" s="215">
        <f t="shared" si="19"/>
        <v>15222633.080000022</v>
      </c>
      <c r="V38" s="253">
        <f>+'[4]Vyhodnocení hosp. 1.pol. 2025'!D38</f>
        <v>8440000</v>
      </c>
      <c r="W38" s="85">
        <f>+'[4]Vyhodnocení hosp. 1.pol. 2025'!E38</f>
        <v>0</v>
      </c>
      <c r="X38" s="85">
        <f>+'[4]Vyhodnocení hosp. 1.pol. 2025'!F38</f>
        <v>1100000</v>
      </c>
      <c r="Y38" s="252">
        <f t="shared" si="14"/>
        <v>9540000</v>
      </c>
      <c r="Z38" s="252">
        <f>+'[4]Vyhodnocení hosp. 1.pol. 2025'!H38</f>
        <v>2283000</v>
      </c>
      <c r="AA38" s="215">
        <f t="shared" si="20"/>
        <v>11823000</v>
      </c>
      <c r="AB38" s="217">
        <f t="shared" si="15"/>
        <v>1</v>
      </c>
      <c r="AC38" s="3"/>
      <c r="AD38" s="3"/>
    </row>
    <row r="39" spans="1:30" ht="15.75" thickBot="1" x14ac:dyDescent="0.3">
      <c r="A39" s="3"/>
      <c r="B39" s="218" t="s">
        <v>73</v>
      </c>
      <c r="C39" s="255" t="s">
        <v>74</v>
      </c>
      <c r="D39" s="256">
        <f>SUM(D35:D38)+SUM(D28:D32)</f>
        <v>183719254.54004201</v>
      </c>
      <c r="E39" s="256">
        <f>SUM(E35:E38)+SUM(E28:E32)</f>
        <v>0</v>
      </c>
      <c r="F39" s="256">
        <f>SUM(F35:F38)+SUM(F28:F32)</f>
        <v>27775219.23995797</v>
      </c>
      <c r="G39" s="257">
        <f>SUM(D39:F39)</f>
        <v>211494473.77999997</v>
      </c>
      <c r="H39" s="258">
        <f>SUM(H28:H32)+SUM(H35:H38)</f>
        <v>19306109.57</v>
      </c>
      <c r="I39" s="259">
        <f>SUM(I35:I38)+SUM(I28:I32)</f>
        <v>230800583.34999999</v>
      </c>
      <c r="J39" s="260">
        <f>SUM(J35:J38)+SUM(J28:J32)</f>
        <v>193187000</v>
      </c>
      <c r="K39" s="260">
        <f>SUM(K35:K38)+SUM(K28:K32)</f>
        <v>0</v>
      </c>
      <c r="L39" s="260">
        <f>SUM(L35:L38)+SUM(L28:L32)</f>
        <v>23280000</v>
      </c>
      <c r="M39" s="261">
        <f>SUM(J39:L39)</f>
        <v>216467000</v>
      </c>
      <c r="N39" s="262">
        <f>SUM(N28:N32)+SUM(N35:N38)</f>
        <v>14483000</v>
      </c>
      <c r="O39" s="263">
        <f>SUM(O35:O38)+SUM(O28:O32)</f>
        <v>230950000</v>
      </c>
      <c r="P39" s="256">
        <f>SUM(P35:P38)+SUM(P28:P32)</f>
        <v>94099470.516576499</v>
      </c>
      <c r="Q39" s="256">
        <f>SUM(Q35:Q38)+SUM(Q28:Q32)</f>
        <v>0</v>
      </c>
      <c r="R39" s="256">
        <f>SUM(R35:R38)+SUM(R28:R32)</f>
        <v>14194180.023423534</v>
      </c>
      <c r="S39" s="257">
        <f>SUM(P39:R39)</f>
        <v>108293650.54000004</v>
      </c>
      <c r="T39" s="258">
        <f>SUM(T28:T32)+SUM(T35:T38)</f>
        <v>9060825</v>
      </c>
      <c r="U39" s="259">
        <f>SUM(U35:U38)+SUM(U28:U32)</f>
        <v>117354475.54000002</v>
      </c>
      <c r="V39" s="256">
        <f>SUM(V35:V38)+SUM(V28:V32)</f>
        <v>208602000</v>
      </c>
      <c r="W39" s="256">
        <f>SUM(W35:W38)+SUM(W28:W32)</f>
        <v>0</v>
      </c>
      <c r="X39" s="256">
        <f>SUM(X35:X38)+SUM(X28:X32)</f>
        <v>23280000</v>
      </c>
      <c r="Y39" s="257">
        <f>SUM(V39:X39)</f>
        <v>231882000</v>
      </c>
      <c r="Z39" s="258">
        <f>SUM(Z28:Z32)+SUM(Z35:Z38)</f>
        <v>14483000</v>
      </c>
      <c r="AA39" s="259">
        <f>SUM(AA28:AA38)-AA33-AA34</f>
        <v>246365000</v>
      </c>
      <c r="AB39" s="264">
        <f t="shared" si="15"/>
        <v>1.0667460489283396</v>
      </c>
      <c r="AC39" s="3"/>
      <c r="AD39" s="3"/>
    </row>
    <row r="40" spans="1:30" ht="19.5" thickBot="1" x14ac:dyDescent="0.35">
      <c r="A40" s="3"/>
      <c r="B40" s="265" t="s">
        <v>75</v>
      </c>
      <c r="C40" s="266" t="s">
        <v>76</v>
      </c>
      <c r="D40" s="267">
        <f t="shared" ref="D40:AA40" si="21">D24-D39</f>
        <v>-11902654.540042013</v>
      </c>
      <c r="E40" s="267">
        <f t="shared" si="21"/>
        <v>0</v>
      </c>
      <c r="F40" s="267">
        <f t="shared" si="21"/>
        <v>8683243.0500420295</v>
      </c>
      <c r="G40" s="268">
        <f t="shared" si="21"/>
        <v>-3219411.4899999797</v>
      </c>
      <c r="H40" s="268">
        <f t="shared" si="21"/>
        <v>3251670.6599999964</v>
      </c>
      <c r="I40" s="269">
        <f t="shared" si="21"/>
        <v>32259.169999986887</v>
      </c>
      <c r="J40" s="267">
        <f t="shared" si="21"/>
        <v>-10437000</v>
      </c>
      <c r="K40" s="267">
        <f t="shared" si="21"/>
        <v>0</v>
      </c>
      <c r="L40" s="267">
        <f t="shared" si="21"/>
        <v>2920000</v>
      </c>
      <c r="M40" s="270">
        <f t="shared" si="21"/>
        <v>-7517000</v>
      </c>
      <c r="N40" s="270">
        <f t="shared" si="21"/>
        <v>7517000</v>
      </c>
      <c r="O40" s="271">
        <f t="shared" si="21"/>
        <v>0</v>
      </c>
      <c r="P40" s="267">
        <f t="shared" si="21"/>
        <v>-2724470.5165764987</v>
      </c>
      <c r="Q40" s="267">
        <f t="shared" si="21"/>
        <v>0</v>
      </c>
      <c r="R40" s="267">
        <f t="shared" si="21"/>
        <v>433262.48657646403</v>
      </c>
      <c r="S40" s="268">
        <f t="shared" si="21"/>
        <v>-2291208.0300000459</v>
      </c>
      <c r="T40" s="268">
        <f t="shared" si="21"/>
        <v>2516823.9700000007</v>
      </c>
      <c r="U40" s="269">
        <f t="shared" si="21"/>
        <v>225615.93999998271</v>
      </c>
      <c r="V40" s="267">
        <f t="shared" si="21"/>
        <v>-10437000</v>
      </c>
      <c r="W40" s="267">
        <f t="shared" si="21"/>
        <v>0</v>
      </c>
      <c r="X40" s="267">
        <f t="shared" si="21"/>
        <v>2920000</v>
      </c>
      <c r="Y40" s="268">
        <f t="shared" si="21"/>
        <v>-7517000</v>
      </c>
      <c r="Z40" s="268">
        <f t="shared" si="21"/>
        <v>7517000</v>
      </c>
      <c r="AA40" s="269">
        <f t="shared" si="21"/>
        <v>0</v>
      </c>
      <c r="AB40" s="272" t="e">
        <f t="shared" si="15"/>
        <v>#DIV/0!</v>
      </c>
      <c r="AC40" s="3"/>
      <c r="AD40" s="3"/>
    </row>
    <row r="41" spans="1:30" ht="15.75" thickBot="1" x14ac:dyDescent="0.3">
      <c r="A41" s="3"/>
      <c r="B41" s="273" t="s">
        <v>77</v>
      </c>
      <c r="C41" s="274" t="s">
        <v>78</v>
      </c>
      <c r="D41" s="275"/>
      <c r="E41" s="276"/>
      <c r="F41" s="276"/>
      <c r="G41" s="277"/>
      <c r="H41" s="278"/>
      <c r="I41" s="279">
        <f>I40-D16</f>
        <v>-171784340.83000001</v>
      </c>
      <c r="J41" s="275"/>
      <c r="K41" s="276"/>
      <c r="L41" s="276"/>
      <c r="M41" s="277"/>
      <c r="N41" s="280"/>
      <c r="O41" s="279">
        <f>O40-J16</f>
        <v>-182750000</v>
      </c>
      <c r="P41" s="275"/>
      <c r="Q41" s="276"/>
      <c r="R41" s="276"/>
      <c r="S41" s="277"/>
      <c r="T41" s="280"/>
      <c r="U41" s="279">
        <f>U40-P16</f>
        <v>-91149384.060000017</v>
      </c>
      <c r="V41" s="275"/>
      <c r="W41" s="276"/>
      <c r="X41" s="276"/>
      <c r="Y41" s="277"/>
      <c r="Z41" s="280"/>
      <c r="AA41" s="279">
        <f>AA40-V16</f>
        <v>-198165000</v>
      </c>
      <c r="AB41" s="190">
        <f t="shared" si="15"/>
        <v>1.0843502051983585</v>
      </c>
      <c r="AC41" s="3"/>
      <c r="AD41" s="3"/>
    </row>
    <row r="42" spans="1:30" ht="8.25" customHeight="1" thickBot="1" x14ac:dyDescent="0.3">
      <c r="A42" s="3"/>
      <c r="B42" s="281"/>
      <c r="C42" s="282"/>
      <c r="D42" s="283"/>
      <c r="E42" s="284"/>
      <c r="F42" s="284"/>
      <c r="G42" s="3"/>
      <c r="H42" s="284"/>
      <c r="I42" s="284"/>
      <c r="J42" s="283"/>
      <c r="K42" s="284"/>
      <c r="L42" s="284"/>
      <c r="M42" s="3"/>
      <c r="N42" s="284"/>
      <c r="O42" s="284"/>
      <c r="P42" s="284"/>
      <c r="Q42" s="284"/>
      <c r="R42" s="284"/>
      <c r="S42" s="284"/>
      <c r="T42" s="284"/>
      <c r="U42" s="284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thickBot="1" x14ac:dyDescent="0.3">
      <c r="A43" s="3"/>
      <c r="B43" s="281"/>
      <c r="C43" s="641" t="s">
        <v>79</v>
      </c>
      <c r="D43" s="123" t="s">
        <v>80</v>
      </c>
      <c r="E43" s="285" t="s">
        <v>81</v>
      </c>
      <c r="F43" s="286" t="s">
        <v>82</v>
      </c>
      <c r="G43" s="284"/>
      <c r="H43" s="284"/>
      <c r="I43" s="287"/>
      <c r="J43" s="123" t="s">
        <v>80</v>
      </c>
      <c r="K43" s="285" t="s">
        <v>81</v>
      </c>
      <c r="L43" s="286" t="s">
        <v>82</v>
      </c>
      <c r="M43" s="284"/>
      <c r="N43" s="284"/>
      <c r="O43" s="284"/>
      <c r="P43" s="123" t="s">
        <v>80</v>
      </c>
      <c r="Q43" s="285" t="s">
        <v>81</v>
      </c>
      <c r="R43" s="286" t="s">
        <v>82</v>
      </c>
      <c r="S43" s="3"/>
      <c r="T43" s="3"/>
      <c r="U43" s="3"/>
      <c r="V43" s="123" t="s">
        <v>80</v>
      </c>
      <c r="W43" s="285" t="s">
        <v>81</v>
      </c>
      <c r="X43" s="286" t="s">
        <v>82</v>
      </c>
      <c r="Y43" s="3"/>
      <c r="Z43" s="3"/>
      <c r="AA43" s="3"/>
      <c r="AB43" s="3"/>
      <c r="AC43" s="3"/>
      <c r="AD43" s="3"/>
    </row>
    <row r="44" spans="1:30" ht="15.75" thickBot="1" x14ac:dyDescent="0.3">
      <c r="A44" s="3"/>
      <c r="B44" s="281"/>
      <c r="C44" s="642"/>
      <c r="D44" s="288">
        <v>0</v>
      </c>
      <c r="E44" s="289">
        <v>0</v>
      </c>
      <c r="F44" s="290">
        <v>0</v>
      </c>
      <c r="G44" s="284"/>
      <c r="H44" s="284"/>
      <c r="I44" s="287"/>
      <c r="J44" s="288">
        <v>0</v>
      </c>
      <c r="K44" s="289">
        <v>0</v>
      </c>
      <c r="L44" s="290">
        <v>15000000</v>
      </c>
      <c r="M44" s="291"/>
      <c r="N44" s="291"/>
      <c r="O44" s="291"/>
      <c r="P44" s="288">
        <v>7500000</v>
      </c>
      <c r="Q44" s="289">
        <v>0</v>
      </c>
      <c r="R44" s="290">
        <v>7500000</v>
      </c>
      <c r="S44" s="3"/>
      <c r="T44" s="3"/>
      <c r="U44" s="3"/>
      <c r="V44" s="288">
        <v>0</v>
      </c>
      <c r="W44" s="289">
        <v>0</v>
      </c>
      <c r="X44" s="290">
        <v>0</v>
      </c>
      <c r="Y44" s="3"/>
      <c r="Z44" s="3"/>
      <c r="AA44" s="3"/>
      <c r="AB44" s="3"/>
      <c r="AC44" s="3"/>
      <c r="AD44" s="3"/>
    </row>
    <row r="45" spans="1:30" ht="8.25" customHeight="1" thickBot="1" x14ac:dyDescent="0.3">
      <c r="A45" s="3"/>
      <c r="B45" s="281"/>
      <c r="C45" s="282"/>
      <c r="D45" s="291"/>
      <c r="E45" s="284"/>
      <c r="F45" s="284"/>
      <c r="G45" s="284"/>
      <c r="H45" s="284"/>
      <c r="I45" s="287"/>
      <c r="J45" s="284"/>
      <c r="K45" s="284"/>
      <c r="L45" s="284"/>
      <c r="M45" s="284"/>
      <c r="N45" s="284"/>
      <c r="O45" s="287"/>
      <c r="P45" s="287"/>
      <c r="Q45" s="287"/>
      <c r="R45" s="287"/>
      <c r="S45" s="287"/>
      <c r="T45" s="287"/>
      <c r="U45" s="287"/>
      <c r="V45" s="3"/>
      <c r="W45" s="3"/>
      <c r="X45" s="3"/>
      <c r="Y45" s="3"/>
      <c r="Z45" s="3"/>
      <c r="AA45" s="3"/>
      <c r="AB45" s="3"/>
      <c r="AC45" s="3"/>
      <c r="AD45" s="3"/>
    </row>
    <row r="46" spans="1:30" ht="37.5" customHeight="1" thickBot="1" x14ac:dyDescent="0.3">
      <c r="A46" s="3"/>
      <c r="B46" s="281"/>
      <c r="C46" s="641" t="s">
        <v>83</v>
      </c>
      <c r="D46" s="131" t="s">
        <v>84</v>
      </c>
      <c r="E46" s="292" t="s">
        <v>85</v>
      </c>
      <c r="F46" s="284"/>
      <c r="G46" s="284"/>
      <c r="H46" s="284"/>
      <c r="I46" s="287"/>
      <c r="J46" s="131" t="s">
        <v>84</v>
      </c>
      <c r="K46" s="292" t="s">
        <v>85</v>
      </c>
      <c r="L46" s="293"/>
      <c r="M46" s="293"/>
      <c r="N46" s="3"/>
      <c r="O46" s="3"/>
      <c r="P46" s="131" t="s">
        <v>84</v>
      </c>
      <c r="Q46" s="292" t="s">
        <v>85</v>
      </c>
      <c r="R46" s="3"/>
      <c r="S46" s="3"/>
      <c r="T46" s="3"/>
      <c r="U46" s="3"/>
      <c r="V46" s="131" t="s">
        <v>84</v>
      </c>
      <c r="W46" s="292" t="s">
        <v>85</v>
      </c>
      <c r="X46" s="3"/>
      <c r="Y46" s="3"/>
      <c r="Z46" s="3"/>
      <c r="AA46" s="3"/>
      <c r="AB46" s="3"/>
      <c r="AC46" s="3"/>
      <c r="AD46" s="3"/>
    </row>
    <row r="47" spans="1:30" ht="15.75" thickBot="1" x14ac:dyDescent="0.3">
      <c r="A47" s="3"/>
      <c r="B47" s="294"/>
      <c r="C47" s="643"/>
      <c r="D47" s="288">
        <v>0</v>
      </c>
      <c r="E47" s="295">
        <v>0</v>
      </c>
      <c r="F47" s="284"/>
      <c r="G47" s="284"/>
      <c r="H47" s="284"/>
      <c r="I47" s="287"/>
      <c r="J47" s="288"/>
      <c r="K47" s="295">
        <v>0</v>
      </c>
      <c r="L47" s="296"/>
      <c r="M47" s="296"/>
      <c r="N47" s="3"/>
      <c r="O47" s="3"/>
      <c r="P47" s="288">
        <v>0</v>
      </c>
      <c r="Q47" s="295">
        <v>0</v>
      </c>
      <c r="R47" s="3"/>
      <c r="S47" s="3"/>
      <c r="T47" s="3"/>
      <c r="U47" s="3"/>
      <c r="V47" s="288"/>
      <c r="W47" s="295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3"/>
      <c r="B48" s="294"/>
      <c r="C48" s="282"/>
      <c r="D48" s="284"/>
      <c r="E48" s="284"/>
      <c r="F48" s="284"/>
      <c r="G48" s="284"/>
      <c r="H48" s="284"/>
      <c r="I48" s="287"/>
      <c r="J48" s="284"/>
      <c r="K48" s="284"/>
      <c r="L48" s="284"/>
      <c r="M48" s="284"/>
      <c r="N48" s="284"/>
      <c r="O48" s="287"/>
      <c r="P48" s="287"/>
      <c r="Q48" s="287"/>
      <c r="R48" s="287"/>
      <c r="S48" s="287"/>
      <c r="T48" s="287"/>
      <c r="U48" s="28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294"/>
      <c r="C49" s="297" t="s">
        <v>86</v>
      </c>
      <c r="D49" s="298" t="s">
        <v>87</v>
      </c>
      <c r="E49" s="298" t="s">
        <v>88</v>
      </c>
      <c r="F49" s="298" t="s">
        <v>89</v>
      </c>
      <c r="G49" s="298" t="s">
        <v>90</v>
      </c>
      <c r="H49" s="284"/>
      <c r="I49" s="3"/>
      <c r="J49" s="298" t="s">
        <v>87</v>
      </c>
      <c r="K49" s="298" t="s">
        <v>88</v>
      </c>
      <c r="L49" s="298" t="s">
        <v>89</v>
      </c>
      <c r="M49" s="298" t="s">
        <v>91</v>
      </c>
      <c r="N49" s="3"/>
      <c r="O49" s="3"/>
      <c r="P49" s="298" t="s">
        <v>87</v>
      </c>
      <c r="Q49" s="298" t="s">
        <v>88</v>
      </c>
      <c r="R49" s="298" t="s">
        <v>89</v>
      </c>
      <c r="S49" s="298" t="s">
        <v>91</v>
      </c>
      <c r="T49" s="3"/>
      <c r="U49" s="3"/>
      <c r="V49" s="298" t="s">
        <v>92</v>
      </c>
      <c r="W49" s="298" t="s">
        <v>88</v>
      </c>
      <c r="X49" s="298" t="s">
        <v>89</v>
      </c>
      <c r="Y49" s="298" t="s">
        <v>91</v>
      </c>
      <c r="Z49" s="3"/>
      <c r="AA49" s="3"/>
      <c r="AB49" s="3"/>
      <c r="AC49" s="3"/>
      <c r="AD49" s="3"/>
    </row>
    <row r="50" spans="1:30" x14ac:dyDescent="0.25">
      <c r="A50" s="3"/>
      <c r="B50" s="294"/>
      <c r="C50" s="299" t="s">
        <v>93</v>
      </c>
      <c r="D50" s="300">
        <v>6311278.2199999997</v>
      </c>
      <c r="E50" s="300">
        <v>39961537.119999997</v>
      </c>
      <c r="F50" s="300">
        <v>34610506.75</v>
      </c>
      <c r="G50" s="301">
        <v>11662308.590000002</v>
      </c>
      <c r="H50" s="284"/>
      <c r="I50" s="3"/>
      <c r="J50" s="300">
        <f t="shared" ref="J50:L50" si="22">SUM(J51:J54)</f>
        <v>11662308.590000002</v>
      </c>
      <c r="K50" s="300">
        <f t="shared" si="22"/>
        <v>25851960.48</v>
      </c>
      <c r="L50" s="300">
        <f t="shared" si="22"/>
        <v>25800000</v>
      </c>
      <c r="M50" s="301">
        <f>J50+K50-L50</f>
        <v>11714269.07</v>
      </c>
      <c r="N50" s="3"/>
      <c r="O50" s="3"/>
      <c r="P50" s="454">
        <f>SUM(P51:P54)</f>
        <v>11662308.600000001</v>
      </c>
      <c r="Q50" s="454">
        <f t="shared" ref="Q50:R50" si="23">SUM(Q51:Q54)</f>
        <v>11878478.4</v>
      </c>
      <c r="R50" s="454">
        <f t="shared" si="23"/>
        <v>19772143</v>
      </c>
      <c r="S50" s="455">
        <f>P50+Q50-R50</f>
        <v>3768644</v>
      </c>
      <c r="T50" s="3"/>
      <c r="U50" s="3"/>
      <c r="V50" s="300">
        <f t="shared" ref="V50" si="24">SUM(V51:V54)</f>
        <v>160000</v>
      </c>
      <c r="W50" s="300">
        <f t="shared" ref="W50:X50" si="25">SUM(W51:W54)</f>
        <v>25905860.48</v>
      </c>
      <c r="X50" s="300">
        <f t="shared" si="25"/>
        <v>25800000</v>
      </c>
      <c r="Y50" s="301">
        <f>V50+W50-X50</f>
        <v>265860.48000000045</v>
      </c>
      <c r="Z50" s="3"/>
      <c r="AA50" s="3"/>
      <c r="AB50" s="3"/>
      <c r="AC50" s="3"/>
      <c r="AD50" s="3"/>
    </row>
    <row r="51" spans="1:30" x14ac:dyDescent="0.25">
      <c r="A51" s="3"/>
      <c r="B51" s="294"/>
      <c r="C51" s="299" t="s">
        <v>94</v>
      </c>
      <c r="D51" s="300">
        <v>4198936.75</v>
      </c>
      <c r="E51" s="300">
        <v>1500000</v>
      </c>
      <c r="F51" s="300">
        <v>5698936.75</v>
      </c>
      <c r="G51" s="301">
        <v>0</v>
      </c>
      <c r="H51" s="284"/>
      <c r="I51" s="3"/>
      <c r="J51" s="300">
        <f>+G51</f>
        <v>0</v>
      </c>
      <c r="K51" s="300">
        <v>0</v>
      </c>
      <c r="L51" s="300">
        <v>0</v>
      </c>
      <c r="M51" s="301">
        <f t="shared" ref="M51:M54" si="26">J51+K51-L51</f>
        <v>0</v>
      </c>
      <c r="N51" s="3"/>
      <c r="O51" s="3"/>
      <c r="P51" s="454">
        <v>0</v>
      </c>
      <c r="Q51" s="454">
        <v>0</v>
      </c>
      <c r="R51" s="454">
        <v>0</v>
      </c>
      <c r="S51" s="455">
        <f t="shared" ref="S51:S53" si="27">P51+Q51-R51</f>
        <v>0</v>
      </c>
      <c r="T51" s="3"/>
      <c r="U51" s="3"/>
      <c r="V51" s="300">
        <f>+S51</f>
        <v>0</v>
      </c>
      <c r="W51" s="300">
        <v>0</v>
      </c>
      <c r="X51" s="300">
        <v>0</v>
      </c>
      <c r="Y51" s="301">
        <f t="shared" ref="Y51:Y54" si="28">V51+W51-X51</f>
        <v>0</v>
      </c>
      <c r="Z51" s="3"/>
      <c r="AA51" s="3"/>
      <c r="AB51" s="3"/>
      <c r="AC51" s="3"/>
      <c r="AD51" s="3"/>
    </row>
    <row r="52" spans="1:30" x14ac:dyDescent="0.25">
      <c r="A52" s="3"/>
      <c r="B52" s="294"/>
      <c r="C52" s="299" t="s">
        <v>95</v>
      </c>
      <c r="D52" s="300">
        <v>1757683.63</v>
      </c>
      <c r="E52" s="300">
        <v>37300735.68</v>
      </c>
      <c r="F52" s="300">
        <v>27925782</v>
      </c>
      <c r="G52" s="301">
        <v>11132637.310000002</v>
      </c>
      <c r="H52" s="284"/>
      <c r="I52" s="3"/>
      <c r="J52" s="300">
        <f>+G52</f>
        <v>11132637.310000002</v>
      </c>
      <c r="K52" s="300">
        <f>+O37</f>
        <v>25078407</v>
      </c>
      <c r="L52" s="300">
        <v>25000000</v>
      </c>
      <c r="M52" s="301">
        <f>+K52+J52-L52</f>
        <v>11211044.310000002</v>
      </c>
      <c r="N52" s="3"/>
      <c r="O52" s="3"/>
      <c r="P52" s="454">
        <v>11132637.300000001</v>
      </c>
      <c r="Q52" s="454">
        <v>11528689</v>
      </c>
      <c r="R52" s="454">
        <v>19368168</v>
      </c>
      <c r="S52" s="455">
        <f t="shared" si="27"/>
        <v>3293158.3000000007</v>
      </c>
      <c r="T52" s="3"/>
      <c r="U52" s="3"/>
      <c r="V52" s="300">
        <v>100000</v>
      </c>
      <c r="W52" s="300">
        <f>+AA37</f>
        <v>25078407</v>
      </c>
      <c r="X52" s="300">
        <v>25000000</v>
      </c>
      <c r="Y52" s="301">
        <f>+W52+V52-X52</f>
        <v>178407</v>
      </c>
      <c r="Z52" s="3"/>
      <c r="AA52" s="3"/>
      <c r="AB52" s="3"/>
      <c r="AC52" s="3"/>
      <c r="AD52" s="3"/>
    </row>
    <row r="53" spans="1:30" x14ac:dyDescent="0.25">
      <c r="A53" s="3"/>
      <c r="B53" s="294"/>
      <c r="C53" s="299" t="s">
        <v>96</v>
      </c>
      <c r="D53" s="300">
        <v>0</v>
      </c>
      <c r="E53" s="300">
        <v>446535</v>
      </c>
      <c r="F53" s="300">
        <v>446535</v>
      </c>
      <c r="G53" s="301">
        <v>0</v>
      </c>
      <c r="H53" s="284"/>
      <c r="I53" s="3"/>
      <c r="J53" s="300">
        <v>0</v>
      </c>
      <c r="K53" s="300">
        <v>0</v>
      </c>
      <c r="L53" s="300">
        <v>0</v>
      </c>
      <c r="M53" s="301">
        <f t="shared" si="26"/>
        <v>0</v>
      </c>
      <c r="N53" s="3"/>
      <c r="O53" s="3"/>
      <c r="P53" s="454">
        <v>0</v>
      </c>
      <c r="Q53" s="454">
        <v>0</v>
      </c>
      <c r="R53" s="454">
        <v>0</v>
      </c>
      <c r="S53" s="455">
        <f t="shared" si="27"/>
        <v>0</v>
      </c>
      <c r="T53" s="3"/>
      <c r="U53" s="3"/>
      <c r="V53" s="300">
        <v>0</v>
      </c>
      <c r="W53" s="300">
        <v>0</v>
      </c>
      <c r="X53" s="300">
        <v>0</v>
      </c>
      <c r="Y53" s="301">
        <f t="shared" si="28"/>
        <v>0</v>
      </c>
      <c r="Z53" s="3"/>
      <c r="AA53" s="3"/>
      <c r="AB53" s="3"/>
      <c r="AC53" s="3"/>
      <c r="AD53" s="3"/>
    </row>
    <row r="54" spans="1:30" x14ac:dyDescent="0.25">
      <c r="A54" s="3"/>
      <c r="B54" s="294"/>
      <c r="C54" s="302" t="s">
        <v>97</v>
      </c>
      <c r="D54" s="300">
        <v>354657.84</v>
      </c>
      <c r="E54" s="300">
        <v>714266.44</v>
      </c>
      <c r="F54" s="300">
        <v>539253</v>
      </c>
      <c r="G54" s="301">
        <v>529671.28</v>
      </c>
      <c r="H54" s="284"/>
      <c r="I54" s="3"/>
      <c r="J54" s="300">
        <f>+G54</f>
        <v>529671.28</v>
      </c>
      <c r="K54" s="300">
        <f>0.01*O33</f>
        <v>773553.48</v>
      </c>
      <c r="L54" s="300">
        <v>800000</v>
      </c>
      <c r="M54" s="301">
        <f t="shared" si="26"/>
        <v>503224.76</v>
      </c>
      <c r="N54" s="3"/>
      <c r="O54" s="3"/>
      <c r="P54" s="454">
        <v>529671.30000000005</v>
      </c>
      <c r="Q54" s="454">
        <v>349789.4</v>
      </c>
      <c r="R54" s="454">
        <v>403975</v>
      </c>
      <c r="S54" s="455">
        <f>+P54+Q54-R54</f>
        <v>475485.70000000007</v>
      </c>
      <c r="T54" s="3"/>
      <c r="U54" s="3"/>
      <c r="V54" s="300">
        <v>60000</v>
      </c>
      <c r="W54" s="300">
        <f>0.01*AA33</f>
        <v>827453.48</v>
      </c>
      <c r="X54" s="300">
        <f>800000</f>
        <v>800000</v>
      </c>
      <c r="Y54" s="301">
        <f t="shared" si="28"/>
        <v>87453.479999999981</v>
      </c>
      <c r="Z54" s="3"/>
      <c r="AA54" s="3"/>
      <c r="AB54" s="3"/>
      <c r="AC54" s="3"/>
      <c r="AD54" s="3"/>
    </row>
    <row r="55" spans="1:30" ht="10.5" customHeight="1" x14ac:dyDescent="0.25">
      <c r="A55" s="3"/>
      <c r="B55" s="294"/>
      <c r="C55" s="282"/>
      <c r="D55" s="284"/>
      <c r="E55" s="284"/>
      <c r="F55" s="284"/>
      <c r="G55" s="284"/>
      <c r="H55" s="28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3"/>
      <c r="B56" s="294"/>
      <c r="C56" s="297" t="s">
        <v>98</v>
      </c>
      <c r="D56" s="298" t="s">
        <v>99</v>
      </c>
      <c r="E56" s="298" t="s">
        <v>100</v>
      </c>
      <c r="F56" s="284"/>
      <c r="G56" s="284"/>
      <c r="H56" s="284"/>
      <c r="I56" s="287"/>
      <c r="J56" s="298" t="s">
        <v>101</v>
      </c>
      <c r="K56" s="284"/>
      <c r="L56" s="284"/>
      <c r="M56" s="284"/>
      <c r="N56" s="284"/>
      <c r="O56" s="287"/>
      <c r="P56" s="298" t="s">
        <v>102</v>
      </c>
      <c r="Q56" s="287"/>
      <c r="R56" s="287"/>
      <c r="S56" s="287"/>
      <c r="T56" s="287"/>
      <c r="U56" s="287"/>
      <c r="V56" s="298" t="s">
        <v>101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3"/>
      <c r="B57" s="294"/>
      <c r="C57" s="299"/>
      <c r="D57" s="303">
        <v>185</v>
      </c>
      <c r="E57" s="303">
        <v>187</v>
      </c>
      <c r="F57" s="284"/>
      <c r="G57" s="284"/>
      <c r="H57" s="284"/>
      <c r="I57" s="287"/>
      <c r="J57" s="303">
        <v>195</v>
      </c>
      <c r="K57" s="284"/>
      <c r="L57" s="284"/>
      <c r="M57" s="284"/>
      <c r="N57" s="284"/>
      <c r="O57" s="287"/>
      <c r="P57" s="303">
        <v>191</v>
      </c>
      <c r="Q57" s="287"/>
      <c r="R57" s="287"/>
      <c r="S57" s="287"/>
      <c r="T57" s="287"/>
      <c r="U57" s="287"/>
      <c r="V57" s="303">
        <v>195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3"/>
      <c r="B58" s="294"/>
      <c r="C58" s="282"/>
      <c r="D58" s="284"/>
      <c r="E58" s="284"/>
      <c r="F58" s="284"/>
      <c r="G58" s="284"/>
      <c r="H58" s="284"/>
      <c r="I58" s="287"/>
      <c r="J58" s="284"/>
      <c r="K58" s="284"/>
      <c r="L58" s="284"/>
      <c r="M58" s="284"/>
      <c r="N58" s="284"/>
      <c r="O58" s="287"/>
      <c r="P58" s="287"/>
      <c r="Q58" s="287"/>
      <c r="R58" s="287"/>
      <c r="S58" s="287"/>
      <c r="T58" s="287"/>
      <c r="U58" s="287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3"/>
      <c r="B59" s="304" t="s">
        <v>103</v>
      </c>
      <c r="C59" s="305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306"/>
      <c r="W59" s="306"/>
      <c r="X59" s="306"/>
      <c r="Y59" s="306"/>
      <c r="Z59" s="306"/>
      <c r="AA59" s="306"/>
      <c r="AB59" s="307"/>
      <c r="AC59" s="3"/>
      <c r="AD59" s="3"/>
    </row>
    <row r="60" spans="1:30" x14ac:dyDescent="0.25">
      <c r="A60" s="3"/>
      <c r="B60" s="308"/>
      <c r="M60"/>
      <c r="AB60" s="309"/>
      <c r="AC60" s="3"/>
      <c r="AD60" s="3"/>
    </row>
    <row r="61" spans="1:30" x14ac:dyDescent="0.25">
      <c r="A61" s="3"/>
      <c r="B61" s="308" t="s">
        <v>205</v>
      </c>
      <c r="M61"/>
      <c r="AB61" s="309"/>
      <c r="AC61" s="3"/>
      <c r="AD61" s="3"/>
    </row>
    <row r="62" spans="1:30" ht="9" customHeight="1" x14ac:dyDescent="0.25">
      <c r="A62" s="3"/>
      <c r="B62" s="308"/>
      <c r="M62"/>
      <c r="AB62" s="309"/>
      <c r="AC62" s="3"/>
      <c r="AD62" s="3"/>
    </row>
    <row r="63" spans="1:30" x14ac:dyDescent="0.25">
      <c r="A63" s="3"/>
      <c r="B63" s="718"/>
      <c r="C63" s="691"/>
      <c r="D63" s="691"/>
      <c r="E63" s="691"/>
      <c r="F63" s="691"/>
      <c r="G63" s="691"/>
      <c r="H63" s="691"/>
      <c r="I63" s="691"/>
      <c r="J63" s="691"/>
      <c r="K63" s="691"/>
      <c r="L63" s="691"/>
      <c r="M63" s="691"/>
      <c r="N63" s="691"/>
      <c r="O63" s="691"/>
      <c r="P63" s="691"/>
      <c r="Q63" s="691"/>
      <c r="R63" s="691"/>
      <c r="S63" s="691"/>
      <c r="T63" s="691"/>
      <c r="U63" s="691"/>
      <c r="AB63" s="309"/>
      <c r="AC63" s="3"/>
      <c r="AD63" s="3"/>
    </row>
    <row r="64" spans="1:30" ht="8.25" customHeight="1" x14ac:dyDescent="0.25">
      <c r="A64" s="3"/>
      <c r="B64" s="413"/>
      <c r="C64" s="456"/>
      <c r="D64" s="456"/>
      <c r="E64" s="456"/>
      <c r="F64" s="456"/>
      <c r="G64" s="456"/>
      <c r="H64" s="456"/>
      <c r="I64" s="456"/>
      <c r="J64" s="456"/>
      <c r="K64" s="456"/>
      <c r="L64" s="456"/>
      <c r="M64" s="456"/>
      <c r="N64" s="456"/>
      <c r="O64" s="456"/>
      <c r="P64" s="456"/>
      <c r="Q64" s="456"/>
      <c r="R64" s="456"/>
      <c r="S64" s="456"/>
      <c r="T64" s="456"/>
      <c r="U64" s="456"/>
      <c r="AB64" s="309"/>
      <c r="AC64" s="3"/>
      <c r="AD64" s="3"/>
    </row>
    <row r="65" spans="1:30" x14ac:dyDescent="0.25">
      <c r="A65" s="3"/>
      <c r="B65" s="634"/>
      <c r="C65" s="635"/>
      <c r="D65" s="635"/>
      <c r="E65" s="635"/>
      <c r="F65" s="635"/>
      <c r="G65" s="635"/>
      <c r="H65" s="635"/>
      <c r="I65" s="635"/>
      <c r="J65" s="635"/>
      <c r="K65" s="635"/>
      <c r="L65" s="635"/>
      <c r="M65" s="635"/>
      <c r="N65" s="635"/>
      <c r="O65" s="635"/>
      <c r="P65" s="635"/>
      <c r="Q65" s="635"/>
      <c r="R65" s="635"/>
      <c r="S65" s="635"/>
      <c r="T65" s="635"/>
      <c r="U65" s="635"/>
      <c r="AB65" s="309"/>
      <c r="AC65" s="3"/>
      <c r="AD65" s="3"/>
    </row>
    <row r="66" spans="1:30" x14ac:dyDescent="0.25">
      <c r="A66" s="3"/>
      <c r="B66" s="413"/>
      <c r="C66" s="456"/>
      <c r="D66" s="456"/>
      <c r="E66" s="456"/>
      <c r="F66" s="456"/>
      <c r="G66" s="456"/>
      <c r="H66" s="456"/>
      <c r="I66" s="456"/>
      <c r="J66" s="456"/>
      <c r="K66" s="456"/>
      <c r="L66" s="456"/>
      <c r="M66" s="456"/>
      <c r="N66" s="456"/>
      <c r="O66" s="456"/>
      <c r="P66" s="456"/>
      <c r="Q66" s="456"/>
      <c r="R66" s="456"/>
      <c r="S66" s="456"/>
      <c r="T66" s="456"/>
      <c r="U66" s="456"/>
      <c r="AB66" s="309"/>
      <c r="AC66" s="3"/>
      <c r="AD66" s="3"/>
    </row>
    <row r="67" spans="1:30" x14ac:dyDescent="0.25">
      <c r="A67" s="3"/>
      <c r="B67" s="413"/>
      <c r="C67" s="456"/>
      <c r="D67" s="456"/>
      <c r="E67" s="456"/>
      <c r="F67" s="456"/>
      <c r="G67" s="456"/>
      <c r="H67" s="456"/>
      <c r="I67" s="456"/>
      <c r="J67" s="456"/>
      <c r="K67" s="456"/>
      <c r="L67" s="456"/>
      <c r="M67" s="456"/>
      <c r="N67" s="456"/>
      <c r="O67" s="456"/>
      <c r="P67" s="456"/>
      <c r="Q67" s="456"/>
      <c r="R67" s="456"/>
      <c r="S67" s="456"/>
      <c r="T67" s="456"/>
      <c r="U67" s="456"/>
      <c r="AB67" s="309"/>
      <c r="AC67" s="3"/>
      <c r="AD67" s="3"/>
    </row>
    <row r="68" spans="1:30" x14ac:dyDescent="0.25">
      <c r="A68" s="3"/>
      <c r="B68" s="413"/>
      <c r="C68" s="456"/>
      <c r="D68" s="456"/>
      <c r="E68" s="456"/>
      <c r="F68" s="456"/>
      <c r="G68" s="456"/>
      <c r="H68" s="456"/>
      <c r="I68" s="456"/>
      <c r="J68" s="456"/>
      <c r="K68" s="456"/>
      <c r="L68" s="456"/>
      <c r="M68" s="456"/>
      <c r="N68" s="456"/>
      <c r="O68" s="456"/>
      <c r="P68" s="456"/>
      <c r="Q68" s="456"/>
      <c r="R68" s="456"/>
      <c r="S68" s="456"/>
      <c r="T68" s="456"/>
      <c r="U68" s="456"/>
      <c r="AB68" s="309"/>
      <c r="AC68" s="3"/>
      <c r="AD68" s="3"/>
    </row>
    <row r="69" spans="1:30" x14ac:dyDescent="0.25">
      <c r="A69" s="3"/>
      <c r="B69" s="413"/>
      <c r="C69" s="456"/>
      <c r="D69" s="456"/>
      <c r="E69" s="456"/>
      <c r="F69" s="456"/>
      <c r="G69" s="456"/>
      <c r="H69" s="456"/>
      <c r="I69" s="456"/>
      <c r="J69" s="456"/>
      <c r="K69" s="456"/>
      <c r="L69" s="456"/>
      <c r="M69" s="456"/>
      <c r="N69" s="456"/>
      <c r="O69" s="456"/>
      <c r="P69" s="456"/>
      <c r="Q69" s="456"/>
      <c r="R69" s="456"/>
      <c r="S69" s="456"/>
      <c r="T69" s="456"/>
      <c r="U69" s="456"/>
      <c r="AB69" s="309"/>
      <c r="AC69" s="3"/>
      <c r="AD69" s="3"/>
    </row>
    <row r="70" spans="1:30" x14ac:dyDescent="0.25">
      <c r="A70" s="3"/>
      <c r="B70" s="413"/>
      <c r="C70" s="456"/>
      <c r="D70" s="456"/>
      <c r="E70" s="456"/>
      <c r="F70" s="456"/>
      <c r="G70" s="456"/>
      <c r="H70" s="456"/>
      <c r="I70" s="456"/>
      <c r="J70" s="456"/>
      <c r="K70" s="456"/>
      <c r="L70" s="456"/>
      <c r="M70" s="456"/>
      <c r="N70" s="456"/>
      <c r="O70" s="456"/>
      <c r="P70" s="456"/>
      <c r="Q70" s="456"/>
      <c r="R70" s="456"/>
      <c r="S70" s="456"/>
      <c r="T70" s="456"/>
      <c r="U70" s="456"/>
      <c r="AB70" s="309"/>
      <c r="AC70" s="3"/>
      <c r="AD70" s="3"/>
    </row>
    <row r="71" spans="1:30" x14ac:dyDescent="0.25">
      <c r="A71" s="3"/>
      <c r="B71" s="413"/>
      <c r="C71" s="456"/>
      <c r="D71" s="456"/>
      <c r="E71" s="456"/>
      <c r="F71" s="456"/>
      <c r="G71" s="456"/>
      <c r="H71" s="456"/>
      <c r="I71" s="456"/>
      <c r="J71" s="456"/>
      <c r="K71" s="456"/>
      <c r="L71" s="456"/>
      <c r="M71" s="456"/>
      <c r="N71" s="456"/>
      <c r="O71" s="456"/>
      <c r="P71" s="456"/>
      <c r="Q71" s="456"/>
      <c r="R71" s="456"/>
      <c r="S71" s="456"/>
      <c r="T71" s="456"/>
      <c r="U71" s="456"/>
      <c r="AB71" s="309"/>
      <c r="AC71" s="3"/>
      <c r="AD71" s="3"/>
    </row>
    <row r="72" spans="1:30" x14ac:dyDescent="0.25">
      <c r="A72" s="3"/>
      <c r="B72" s="413"/>
      <c r="C72" s="456"/>
      <c r="D72" s="456"/>
      <c r="E72" s="456"/>
      <c r="F72" s="456"/>
      <c r="G72" s="456"/>
      <c r="H72" s="456"/>
      <c r="I72" s="456"/>
      <c r="J72" s="456"/>
      <c r="K72" s="456"/>
      <c r="L72" s="456"/>
      <c r="M72" s="456"/>
      <c r="N72" s="456"/>
      <c r="O72" s="456"/>
      <c r="P72" s="456"/>
      <c r="Q72" s="456"/>
      <c r="R72" s="456"/>
      <c r="S72" s="456"/>
      <c r="T72" s="456"/>
      <c r="U72" s="456"/>
      <c r="AB72" s="309"/>
      <c r="AC72" s="3"/>
      <c r="AD72" s="3"/>
    </row>
    <row r="73" spans="1:30" x14ac:dyDescent="0.25">
      <c r="A73" s="3"/>
      <c r="B73" s="413"/>
      <c r="C73" s="456"/>
      <c r="D73" s="456"/>
      <c r="E73" s="456"/>
      <c r="F73" s="456"/>
      <c r="G73" s="456"/>
      <c r="H73" s="456"/>
      <c r="I73" s="456"/>
      <c r="J73" s="456"/>
      <c r="K73" s="456"/>
      <c r="L73" s="456"/>
      <c r="M73" s="456"/>
      <c r="N73" s="456"/>
      <c r="O73" s="456"/>
      <c r="P73" s="456"/>
      <c r="Q73" s="456"/>
      <c r="R73" s="456"/>
      <c r="S73" s="456"/>
      <c r="T73" s="456"/>
      <c r="U73" s="456"/>
      <c r="AB73" s="309"/>
      <c r="AC73" s="3"/>
      <c r="AD73" s="3"/>
    </row>
    <row r="74" spans="1:30" x14ac:dyDescent="0.25">
      <c r="A74" s="3"/>
      <c r="B74" s="413"/>
      <c r="C74" s="456"/>
      <c r="D74" s="456"/>
      <c r="E74" s="456"/>
      <c r="F74" s="456"/>
      <c r="G74" s="456"/>
      <c r="H74" s="456"/>
      <c r="I74" s="456"/>
      <c r="J74" s="456"/>
      <c r="K74" s="456"/>
      <c r="L74" s="456"/>
      <c r="M74" s="456"/>
      <c r="N74" s="456"/>
      <c r="O74" s="456"/>
      <c r="P74" s="456"/>
      <c r="Q74" s="456"/>
      <c r="R74" s="456"/>
      <c r="S74" s="456"/>
      <c r="T74" s="456"/>
      <c r="U74" s="456"/>
      <c r="AB74" s="309"/>
      <c r="AC74" s="3"/>
      <c r="AD74" s="3"/>
    </row>
    <row r="75" spans="1:30" x14ac:dyDescent="0.25">
      <c r="A75" s="3"/>
      <c r="B75" s="310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AB75" s="309"/>
      <c r="AC75" s="3"/>
      <c r="AD75" s="3"/>
    </row>
    <row r="76" spans="1:30" x14ac:dyDescent="0.25">
      <c r="A76" s="3"/>
      <c r="B76" s="413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AB76" s="309"/>
      <c r="AC76" s="3"/>
      <c r="AD76" s="3"/>
    </row>
    <row r="77" spans="1:30" x14ac:dyDescent="0.25">
      <c r="A77" s="3"/>
      <c r="B77" s="314"/>
      <c r="C77" s="315"/>
      <c r="D77" s="316"/>
      <c r="E77" s="316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8"/>
      <c r="W77" s="318"/>
      <c r="X77" s="318"/>
      <c r="Y77" s="318"/>
      <c r="Z77" s="318"/>
      <c r="AA77" s="318"/>
      <c r="AB77" s="319"/>
      <c r="AC77" s="3"/>
      <c r="AD77" s="3"/>
    </row>
    <row r="78" spans="1:30" x14ac:dyDescent="0.25">
      <c r="A78" s="3"/>
      <c r="B78" s="320"/>
      <c r="C78" s="321"/>
      <c r="D78" s="320"/>
      <c r="E78" s="320"/>
      <c r="F78" s="322"/>
      <c r="G78" s="322"/>
      <c r="H78" s="322"/>
      <c r="I78" s="322"/>
      <c r="J78" s="322"/>
      <c r="K78" s="322"/>
      <c r="L78" s="322"/>
      <c r="M78" s="322"/>
      <c r="N78" s="322"/>
      <c r="O78" s="322"/>
      <c r="P78" s="322"/>
      <c r="Q78" s="322"/>
      <c r="R78" s="322"/>
      <c r="S78" s="322"/>
      <c r="T78" s="322"/>
      <c r="U78" s="322"/>
      <c r="V78" s="3"/>
      <c r="W78" s="3"/>
      <c r="X78" s="3"/>
      <c r="Y78" s="3"/>
      <c r="Z78" s="3"/>
      <c r="AA78" s="3"/>
      <c r="AB78" s="3"/>
      <c r="AC78" s="3"/>
      <c r="AD78" s="3"/>
    </row>
    <row r="79" spans="1:30" x14ac:dyDescent="0.25">
      <c r="A79" s="3"/>
      <c r="B79" s="320"/>
      <c r="C79" s="321"/>
      <c r="D79" s="320"/>
      <c r="E79" s="320"/>
      <c r="F79" s="322"/>
      <c r="G79" s="322"/>
      <c r="H79" s="322"/>
      <c r="I79" s="322"/>
      <c r="J79" s="322"/>
      <c r="K79" s="322"/>
      <c r="L79" s="322"/>
      <c r="M79" s="322"/>
      <c r="N79" s="322"/>
      <c r="O79" s="322"/>
      <c r="P79" s="322"/>
      <c r="Q79" s="322"/>
      <c r="R79" s="322"/>
      <c r="S79" s="322"/>
      <c r="T79" s="322"/>
      <c r="U79" s="322"/>
      <c r="V79" s="3"/>
      <c r="W79" s="3"/>
      <c r="X79" s="3"/>
      <c r="Y79" s="3"/>
      <c r="Z79" s="3"/>
      <c r="AA79" s="3"/>
      <c r="AB79" s="3"/>
      <c r="AC79" s="3"/>
      <c r="AD79" s="3"/>
    </row>
    <row r="80" spans="1:30" x14ac:dyDescent="0.25">
      <c r="A80" s="3"/>
      <c r="B80" s="323"/>
      <c r="C80" s="323"/>
      <c r="D80" s="323"/>
      <c r="E80" s="323"/>
      <c r="F80" s="323"/>
      <c r="G80" s="323"/>
      <c r="H80" s="323"/>
      <c r="I80" s="323"/>
      <c r="J80" s="323"/>
      <c r="K80" s="323"/>
      <c r="L80" s="323"/>
      <c r="M80" s="323"/>
      <c r="N80" s="323"/>
      <c r="O80" s="323"/>
      <c r="P80" s="323"/>
      <c r="Q80" s="323"/>
      <c r="R80" s="323"/>
      <c r="S80" s="323"/>
      <c r="T80" s="323"/>
      <c r="U80" s="323"/>
      <c r="V80" s="3"/>
      <c r="W80" s="3"/>
      <c r="X80" s="3"/>
      <c r="Y80" s="3"/>
      <c r="Z80" s="3"/>
      <c r="AA80" s="3"/>
      <c r="AB80" s="3"/>
      <c r="AC80" s="3"/>
      <c r="AD80" s="3"/>
    </row>
    <row r="81" spans="1:30" x14ac:dyDescent="0.25">
      <c r="A81" s="3"/>
      <c r="B81" s="323" t="s">
        <v>104</v>
      </c>
      <c r="C81" s="324">
        <v>45931</v>
      </c>
      <c r="D81" s="323" t="s">
        <v>105</v>
      </c>
      <c r="E81" s="635" t="s">
        <v>206</v>
      </c>
      <c r="F81" s="635"/>
      <c r="G81" s="635"/>
      <c r="H81" s="323"/>
      <c r="I81" s="323" t="s">
        <v>107</v>
      </c>
      <c r="J81" s="636" t="s">
        <v>207</v>
      </c>
      <c r="K81" s="636"/>
      <c r="L81" s="636"/>
      <c r="M81" s="636"/>
      <c r="N81" s="323"/>
      <c r="O81" s="323"/>
      <c r="P81" s="323"/>
      <c r="Q81" s="323"/>
      <c r="R81" s="323"/>
      <c r="S81" s="323"/>
      <c r="T81" s="323"/>
      <c r="U81" s="323"/>
      <c r="V81" s="3"/>
      <c r="W81" s="3"/>
      <c r="X81" s="3"/>
      <c r="Y81" s="3"/>
      <c r="Z81" s="3"/>
      <c r="AA81" s="3"/>
      <c r="AB81" s="3"/>
      <c r="AC81" s="3"/>
      <c r="AD81" s="3"/>
    </row>
    <row r="82" spans="1:30" ht="7.5" customHeight="1" x14ac:dyDescent="0.25">
      <c r="A82" s="3"/>
      <c r="B82" s="323"/>
      <c r="C82" s="323"/>
      <c r="D82" s="323"/>
      <c r="E82" s="323"/>
      <c r="F82" s="323"/>
      <c r="G82" s="323"/>
      <c r="H82" s="323"/>
      <c r="I82" s="323"/>
      <c r="J82" s="323"/>
      <c r="K82" s="323"/>
      <c r="L82" s="323"/>
      <c r="M82" s="323"/>
      <c r="N82" s="323"/>
      <c r="O82" s="323"/>
      <c r="P82" s="323"/>
      <c r="Q82" s="323"/>
      <c r="R82" s="323"/>
      <c r="S82" s="323"/>
      <c r="T82" s="323"/>
      <c r="U82" s="323"/>
      <c r="V82" s="3"/>
      <c r="W82" s="3"/>
      <c r="X82" s="3"/>
      <c r="Y82" s="3"/>
      <c r="Z82" s="3"/>
      <c r="AA82" s="3"/>
      <c r="AB82" s="3"/>
      <c r="AC82" s="3"/>
      <c r="AD82" s="3"/>
    </row>
    <row r="83" spans="1:30" x14ac:dyDescent="0.25">
      <c r="A83" s="3"/>
      <c r="B83" s="323"/>
      <c r="C83" s="323"/>
      <c r="D83" s="323" t="s">
        <v>109</v>
      </c>
      <c r="E83" s="325"/>
      <c r="F83" s="325"/>
      <c r="G83" s="325"/>
      <c r="H83" s="323"/>
      <c r="I83" s="323" t="s">
        <v>109</v>
      </c>
      <c r="J83" s="326"/>
      <c r="K83" s="326"/>
      <c r="L83" s="326"/>
      <c r="M83" s="326"/>
      <c r="N83" s="323"/>
      <c r="O83" s="323"/>
      <c r="P83" s="323"/>
      <c r="Q83" s="323"/>
      <c r="R83" s="323"/>
      <c r="S83" s="323"/>
      <c r="T83" s="323"/>
      <c r="U83" s="323"/>
      <c r="V83" s="3"/>
      <c r="W83" s="3"/>
      <c r="X83" s="3"/>
      <c r="Y83" s="3"/>
      <c r="Z83" s="3"/>
      <c r="AA83" s="3"/>
      <c r="AB83" s="3"/>
      <c r="AC83" s="3"/>
      <c r="AD83" s="3"/>
    </row>
    <row r="84" spans="1:30" x14ac:dyDescent="0.25">
      <c r="A84" s="3"/>
      <c r="B84" s="323"/>
      <c r="C84" s="323"/>
      <c r="D84" s="323"/>
      <c r="E84" s="325"/>
      <c r="F84" s="325"/>
      <c r="G84" s="325"/>
      <c r="H84" s="323"/>
      <c r="I84" s="323"/>
      <c r="J84" s="326"/>
      <c r="K84" s="326"/>
      <c r="L84" s="326"/>
      <c r="M84" s="326"/>
      <c r="N84" s="323"/>
      <c r="O84" s="323"/>
      <c r="P84" s="323"/>
      <c r="Q84" s="323"/>
      <c r="R84" s="323"/>
      <c r="S84" s="323"/>
      <c r="T84" s="323"/>
      <c r="U84" s="323"/>
      <c r="V84" s="3"/>
      <c r="W84" s="3"/>
      <c r="X84" s="3"/>
      <c r="Y84" s="3"/>
      <c r="Z84" s="3"/>
      <c r="AA84" s="3"/>
      <c r="AB84" s="3"/>
      <c r="AC84" s="3"/>
      <c r="AD84" s="3"/>
    </row>
    <row r="85" spans="1:30" x14ac:dyDescent="0.25">
      <c r="A85" s="3"/>
      <c r="B85" s="323"/>
      <c r="C85" s="323"/>
      <c r="D85" s="323"/>
      <c r="E85" s="323"/>
      <c r="F85" s="323"/>
      <c r="G85" s="323"/>
      <c r="H85" s="323"/>
      <c r="I85" s="323"/>
      <c r="J85" s="323"/>
      <c r="K85" s="323"/>
      <c r="L85" s="323"/>
      <c r="M85" s="323"/>
      <c r="N85" s="323"/>
      <c r="O85" s="323"/>
      <c r="P85" s="323"/>
      <c r="Q85" s="323"/>
      <c r="R85" s="323"/>
      <c r="S85" s="323"/>
      <c r="T85" s="323"/>
      <c r="U85" s="323"/>
      <c r="V85" s="3"/>
      <c r="W85" s="3"/>
      <c r="X85" s="3"/>
      <c r="Y85" s="3"/>
      <c r="Z85" s="3"/>
      <c r="AA85" s="3"/>
      <c r="AB85" s="3"/>
      <c r="AC85" s="3"/>
      <c r="AD85" s="3"/>
    </row>
    <row r="86" spans="1:30" x14ac:dyDescent="0.25">
      <c r="A86" s="3"/>
      <c r="B86" s="323"/>
      <c r="C86" s="323"/>
      <c r="D86" s="323"/>
      <c r="E86" s="323"/>
      <c r="F86" s="323"/>
      <c r="G86" s="323"/>
      <c r="H86" s="323"/>
      <c r="I86" s="323"/>
      <c r="J86" s="323"/>
      <c r="K86" s="323"/>
      <c r="L86" s="323"/>
      <c r="M86" s="323"/>
      <c r="N86" s="323"/>
      <c r="O86" s="323"/>
      <c r="P86" s="323"/>
      <c r="Q86" s="323"/>
      <c r="R86" s="323"/>
      <c r="S86" s="323"/>
      <c r="T86" s="323"/>
      <c r="U86" s="323"/>
      <c r="V86" s="3"/>
      <c r="W86" s="3"/>
      <c r="X86" s="3"/>
      <c r="Y86" s="3"/>
      <c r="Z86" s="3"/>
      <c r="AA86" s="3"/>
      <c r="AB86" s="3"/>
      <c r="AC86" s="3"/>
      <c r="AD86" s="3"/>
    </row>
    <row r="87" spans="1:30" x14ac:dyDescent="0.25"/>
    <row r="88" spans="1:30" x14ac:dyDescent="0.25"/>
    <row r="89" spans="1:30" x14ac:dyDescent="0.25">
      <c r="E89" s="457"/>
    </row>
    <row r="90" spans="1:30" x14ac:dyDescent="0.25"/>
    <row r="91" spans="1:30" x14ac:dyDescent="0.25"/>
    <row r="92" spans="1:30" x14ac:dyDescent="0.25"/>
    <row r="93" spans="1:30" x14ac:dyDescent="0.25">
      <c r="M93"/>
    </row>
    <row r="94" spans="1:30" x14ac:dyDescent="0.25">
      <c r="B94" s="691"/>
      <c r="C94" s="691"/>
      <c r="D94" s="691"/>
      <c r="E94" s="691"/>
      <c r="F94" s="691"/>
      <c r="G94" s="691"/>
      <c r="H94" s="691"/>
      <c r="I94" s="691"/>
      <c r="J94" s="691"/>
      <c r="K94" s="691"/>
      <c r="L94" s="691"/>
      <c r="M94" s="691"/>
      <c r="N94" s="691"/>
      <c r="O94" s="691"/>
      <c r="P94" s="691"/>
      <c r="Q94" s="691"/>
      <c r="R94" s="691"/>
      <c r="S94" s="691"/>
      <c r="T94" s="691"/>
      <c r="U94" s="691"/>
    </row>
    <row r="95" spans="1:30" x14ac:dyDescent="0.25">
      <c r="B95" s="635"/>
      <c r="C95" s="635"/>
      <c r="D95" s="635"/>
      <c r="E95" s="635"/>
      <c r="F95" s="635"/>
      <c r="G95" s="635"/>
      <c r="H95" s="635"/>
      <c r="I95" s="635"/>
      <c r="J95" s="635"/>
      <c r="K95" s="635"/>
      <c r="L95" s="635"/>
      <c r="M95" s="635"/>
      <c r="N95" s="635"/>
      <c r="O95" s="635"/>
      <c r="P95" s="635"/>
      <c r="Q95" s="635"/>
      <c r="R95" s="635"/>
      <c r="S95" s="635"/>
      <c r="T95" s="635"/>
      <c r="U95" s="635"/>
    </row>
    <row r="96" spans="1:30" x14ac:dyDescent="0.25">
      <c r="B96" s="456"/>
      <c r="C96" s="456"/>
      <c r="D96" s="456"/>
      <c r="E96" s="456"/>
      <c r="F96" s="456"/>
      <c r="G96" s="456"/>
      <c r="H96" s="456"/>
      <c r="I96" s="456"/>
      <c r="J96" s="456"/>
      <c r="K96" s="456"/>
      <c r="L96" s="456"/>
      <c r="M96" s="456"/>
      <c r="N96" s="456"/>
      <c r="O96" s="456"/>
      <c r="P96" s="456"/>
      <c r="Q96" s="456"/>
      <c r="R96" s="456"/>
      <c r="S96" s="456"/>
      <c r="T96" s="456"/>
      <c r="U96" s="456"/>
    </row>
    <row r="97" spans="2:21" x14ac:dyDescent="0.25">
      <c r="B97" s="456"/>
      <c r="C97" s="456"/>
      <c r="D97" s="456"/>
      <c r="E97" s="456"/>
      <c r="F97" s="456"/>
      <c r="G97" s="456"/>
      <c r="H97" s="456"/>
      <c r="I97" s="456"/>
      <c r="J97" s="456"/>
      <c r="K97" s="456"/>
      <c r="L97" s="456"/>
      <c r="M97" s="456"/>
      <c r="N97" s="456"/>
      <c r="O97" s="456"/>
      <c r="P97" s="456"/>
      <c r="Q97" s="456"/>
      <c r="R97" s="456"/>
      <c r="S97" s="456"/>
      <c r="T97" s="456"/>
      <c r="U97" s="456"/>
    </row>
    <row r="98" spans="2:21" x14ac:dyDescent="0.25">
      <c r="B98" s="456"/>
      <c r="C98" s="456"/>
      <c r="D98" s="456"/>
      <c r="E98" s="456"/>
      <c r="F98" s="456"/>
      <c r="G98" s="456"/>
      <c r="H98" s="456"/>
      <c r="I98" s="456"/>
      <c r="J98" s="456"/>
      <c r="K98" s="456"/>
      <c r="L98" s="456"/>
      <c r="M98" s="456"/>
      <c r="N98" s="456"/>
      <c r="O98" s="456"/>
      <c r="P98" s="456"/>
      <c r="Q98" s="456"/>
      <c r="R98" s="456"/>
      <c r="S98" s="456"/>
      <c r="T98" s="456"/>
      <c r="U98" s="456"/>
    </row>
    <row r="99" spans="2:21" x14ac:dyDescent="0.25">
      <c r="B99" s="456"/>
      <c r="C99" s="456"/>
      <c r="D99" s="456"/>
      <c r="E99" s="456"/>
      <c r="F99" s="456"/>
      <c r="G99" s="456"/>
      <c r="H99" s="456"/>
      <c r="I99" s="456"/>
      <c r="J99" s="456"/>
      <c r="K99" s="456"/>
      <c r="L99" s="456"/>
      <c r="M99" s="456"/>
      <c r="N99" s="456"/>
      <c r="O99" s="456"/>
      <c r="P99" s="456"/>
      <c r="Q99" s="456"/>
      <c r="R99" s="456"/>
      <c r="S99" s="456"/>
      <c r="T99" s="456"/>
      <c r="U99" s="456"/>
    </row>
    <row r="100" spans="2:21" x14ac:dyDescent="0.25"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456"/>
      <c r="P100" s="456"/>
      <c r="Q100" s="456"/>
      <c r="R100" s="456"/>
      <c r="S100" s="456"/>
      <c r="T100" s="456"/>
      <c r="U100" s="456"/>
    </row>
    <row r="101" spans="2:21" x14ac:dyDescent="0.25"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</row>
    <row r="102" spans="2:21" hidden="1" x14ac:dyDescent="0.25">
      <c r="B102" s="456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</row>
    <row r="103" spans="2:21" ht="15" hidden="1" customHeight="1" x14ac:dyDescent="0.25"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</row>
    <row r="104" spans="2:21" hidden="1" x14ac:dyDescent="0.25">
      <c r="B104" s="456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</row>
    <row r="105" spans="2:21" hidden="1" x14ac:dyDescent="0.25">
      <c r="B105" s="456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</row>
    <row r="106" spans="2:21" hidden="1" x14ac:dyDescent="0.25">
      <c r="B106" s="456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</row>
    <row r="107" spans="2:21" hidden="1" x14ac:dyDescent="0.25">
      <c r="B107" s="456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</row>
    <row r="108" spans="2:21" x14ac:dyDescent="0.25"/>
    <row r="109" spans="2:21" x14ac:dyDescent="0.25"/>
    <row r="110" spans="2:21" x14ac:dyDescent="0.25"/>
    <row r="111" spans="2:21" x14ac:dyDescent="0.25"/>
    <row r="112" spans="2:21" x14ac:dyDescent="0.25"/>
    <row r="113" x14ac:dyDescent="0.25"/>
    <row r="114" x14ac:dyDescent="0.25"/>
    <row r="117" ht="15" hidden="1" customHeight="1" x14ac:dyDescent="0.25"/>
    <row r="118" ht="15" hidden="1" customHeight="1" x14ac:dyDescent="0.25"/>
    <row r="119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30" x14ac:dyDescent="0.25"/>
    <row r="133" x14ac:dyDescent="0.25"/>
    <row r="134" x14ac:dyDescent="0.25"/>
    <row r="136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</sheetData>
  <mergeCells count="65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5:AB27"/>
    <mergeCell ref="J26:L26"/>
    <mergeCell ref="M26:M27"/>
    <mergeCell ref="N26:N27"/>
    <mergeCell ref="O26:O27"/>
    <mergeCell ref="AA13:AA14"/>
    <mergeCell ref="D25:I25"/>
    <mergeCell ref="J25:O25"/>
    <mergeCell ref="P25:U25"/>
    <mergeCell ref="V25:AA25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63:U63"/>
    <mergeCell ref="P26:R26"/>
    <mergeCell ref="S26:S27"/>
    <mergeCell ref="T26:T27"/>
    <mergeCell ref="U26:U27"/>
    <mergeCell ref="B26:B27"/>
    <mergeCell ref="C26:C27"/>
    <mergeCell ref="D26:F26"/>
    <mergeCell ref="G26:G27"/>
    <mergeCell ref="H26:H27"/>
    <mergeCell ref="I26:I27"/>
    <mergeCell ref="Z26:Z27"/>
    <mergeCell ref="AA26:AA27"/>
    <mergeCell ref="C43:C44"/>
    <mergeCell ref="C46:C47"/>
    <mergeCell ref="D59:U59"/>
    <mergeCell ref="V26:X26"/>
    <mergeCell ref="Y26:Y27"/>
    <mergeCell ref="B65:U65"/>
    <mergeCell ref="E81:G81"/>
    <mergeCell ref="J81:M81"/>
    <mergeCell ref="B94:U94"/>
    <mergeCell ref="B95:U95"/>
  </mergeCells>
  <conditionalFormatting sqref="AB15:AB25">
    <cfRule type="cellIs" dxfId="29" priority="3" operator="equal">
      <formula>0</formula>
    </cfRule>
    <cfRule type="containsErrors" dxfId="28" priority="4">
      <formula>ISERROR(AB15)</formula>
    </cfRule>
  </conditionalFormatting>
  <conditionalFormatting sqref="AB28:AB41">
    <cfRule type="cellIs" dxfId="27" priority="1" operator="equal">
      <formula>0</formula>
    </cfRule>
    <cfRule type="containsErrors" dxfId="26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rgb="FFFF0000"/>
    <pageSetUpPr fitToPage="1"/>
  </sheetPr>
  <dimension ref="A1:AD128"/>
  <sheetViews>
    <sheetView showGridLines="0" zoomScale="80" zoomScaleNormal="80" zoomScaleSheetLayoutView="80" workbookViewId="0">
      <selection activeCell="B77" sqref="B7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8.42578125" customWidth="1"/>
    <col min="9" max="9" width="18.85546875" customWidth="1"/>
    <col min="10" max="10" width="16.140625" bestFit="1" customWidth="1"/>
    <col min="11" max="11" width="17.85546875" bestFit="1" customWidth="1"/>
    <col min="12" max="12" width="19.85546875" customWidth="1"/>
    <col min="13" max="13" width="23.42578125" style="327" bestFit="1" customWidth="1"/>
    <col min="14" max="14" width="15.42578125" customWidth="1"/>
    <col min="15" max="16" width="16.42578125" customWidth="1"/>
    <col min="17" max="17" width="17.7109375" customWidth="1"/>
    <col min="18" max="18" width="16.42578125" customWidth="1"/>
    <col min="19" max="19" width="21.140625" customWidth="1"/>
    <col min="20" max="20" width="16.42578125" customWidth="1"/>
    <col min="21" max="21" width="16.28515625" customWidth="1"/>
    <col min="22" max="22" width="16.140625" bestFit="1" customWidth="1"/>
    <col min="23" max="23" width="14.140625" bestFit="1" customWidth="1"/>
    <col min="24" max="24" width="25" customWidth="1"/>
    <col min="25" max="25" width="21.85546875" customWidth="1"/>
    <col min="26" max="26" width="15.85546875" customWidth="1"/>
    <col min="27" max="27" width="17.28515625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17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7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7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1</v>
      </c>
      <c r="C4" s="3"/>
      <c r="D4" s="690" t="s">
        <v>208</v>
      </c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7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3</v>
      </c>
      <c r="C6" s="3"/>
      <c r="D6" s="174">
        <v>379719</v>
      </c>
      <c r="E6" s="3"/>
      <c r="F6" s="3"/>
      <c r="G6" s="3"/>
      <c r="H6" s="3"/>
      <c r="I6" s="3"/>
      <c r="J6" s="3"/>
      <c r="K6" s="3"/>
      <c r="L6" s="3"/>
      <c r="M6" s="17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175"/>
      <c r="E7" s="3"/>
      <c r="F7" s="3"/>
      <c r="G7" s="3"/>
      <c r="H7" s="3"/>
      <c r="I7" s="3"/>
      <c r="J7" s="3"/>
      <c r="K7" s="3"/>
      <c r="L7" s="3"/>
      <c r="M7" s="17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5</v>
      </c>
      <c r="C8" s="3"/>
      <c r="D8" s="691" t="s">
        <v>209</v>
      </c>
      <c r="E8" s="691"/>
      <c r="F8" s="691"/>
      <c r="G8" s="691"/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691"/>
      <c r="T8" s="691"/>
      <c r="U8" s="691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7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692" t="s">
        <v>7</v>
      </c>
      <c r="C10" s="651" t="s">
        <v>8</v>
      </c>
      <c r="D10" s="678" t="s">
        <v>9</v>
      </c>
      <c r="E10" s="679"/>
      <c r="F10" s="679"/>
      <c r="G10" s="679"/>
      <c r="H10" s="679"/>
      <c r="I10" s="680"/>
      <c r="J10" s="678" t="s">
        <v>10</v>
      </c>
      <c r="K10" s="679"/>
      <c r="L10" s="679"/>
      <c r="M10" s="679"/>
      <c r="N10" s="679"/>
      <c r="O10" s="680"/>
      <c r="P10" s="678" t="s">
        <v>11</v>
      </c>
      <c r="Q10" s="679"/>
      <c r="R10" s="679"/>
      <c r="S10" s="679"/>
      <c r="T10" s="679"/>
      <c r="U10" s="680"/>
      <c r="V10" s="678" t="s">
        <v>12</v>
      </c>
      <c r="W10" s="679"/>
      <c r="X10" s="679"/>
      <c r="Y10" s="679"/>
      <c r="Z10" s="679"/>
      <c r="AA10" s="680"/>
      <c r="AB10" s="681" t="s">
        <v>13</v>
      </c>
      <c r="AC10" s="3"/>
      <c r="AD10" s="3"/>
    </row>
    <row r="11" spans="1:30" ht="30.75" customHeight="1" thickBot="1" x14ac:dyDescent="0.3">
      <c r="A11" s="3"/>
      <c r="B11" s="693"/>
      <c r="C11" s="652"/>
      <c r="D11" s="684" t="s">
        <v>14</v>
      </c>
      <c r="E11" s="685"/>
      <c r="F11" s="685"/>
      <c r="G11" s="686"/>
      <c r="H11" s="176" t="s">
        <v>15</v>
      </c>
      <c r="I11" s="176" t="s">
        <v>16</v>
      </c>
      <c r="J11" s="684" t="s">
        <v>14</v>
      </c>
      <c r="K11" s="685"/>
      <c r="L11" s="685"/>
      <c r="M11" s="686"/>
      <c r="N11" s="176" t="s">
        <v>15</v>
      </c>
      <c r="O11" s="176" t="s">
        <v>16</v>
      </c>
      <c r="P11" s="684" t="s">
        <v>14</v>
      </c>
      <c r="Q11" s="685"/>
      <c r="R11" s="685"/>
      <c r="S11" s="686"/>
      <c r="T11" s="176" t="s">
        <v>15</v>
      </c>
      <c r="U11" s="176" t="s">
        <v>16</v>
      </c>
      <c r="V11" s="684" t="s">
        <v>14</v>
      </c>
      <c r="W11" s="685"/>
      <c r="X11" s="685"/>
      <c r="Y11" s="686"/>
      <c r="Z11" s="176" t="s">
        <v>15</v>
      </c>
      <c r="AA11" s="176" t="s">
        <v>16</v>
      </c>
      <c r="AB11" s="682"/>
      <c r="AC11" s="3"/>
      <c r="AD11" s="3"/>
    </row>
    <row r="12" spans="1:30" ht="15.75" customHeight="1" thickBot="1" x14ac:dyDescent="0.3">
      <c r="A12" s="3"/>
      <c r="B12" s="693"/>
      <c r="C12" s="695"/>
      <c r="D12" s="687" t="s">
        <v>17</v>
      </c>
      <c r="E12" s="688"/>
      <c r="F12" s="688"/>
      <c r="G12" s="688"/>
      <c r="H12" s="688"/>
      <c r="I12" s="689"/>
      <c r="J12" s="687" t="s">
        <v>17</v>
      </c>
      <c r="K12" s="688"/>
      <c r="L12" s="688"/>
      <c r="M12" s="688"/>
      <c r="N12" s="688"/>
      <c r="O12" s="689"/>
      <c r="P12" s="687" t="s">
        <v>17</v>
      </c>
      <c r="Q12" s="688"/>
      <c r="R12" s="688"/>
      <c r="S12" s="688"/>
      <c r="T12" s="688"/>
      <c r="U12" s="689"/>
      <c r="V12" s="687" t="s">
        <v>17</v>
      </c>
      <c r="W12" s="688"/>
      <c r="X12" s="688"/>
      <c r="Y12" s="688"/>
      <c r="Z12" s="688"/>
      <c r="AA12" s="689"/>
      <c r="AB12" s="682"/>
      <c r="AC12" s="3"/>
      <c r="AD12" s="3"/>
    </row>
    <row r="13" spans="1:30" ht="15.75" customHeight="1" thickBot="1" x14ac:dyDescent="0.3">
      <c r="A13" s="3"/>
      <c r="B13" s="694"/>
      <c r="C13" s="696"/>
      <c r="D13" s="676" t="s">
        <v>18</v>
      </c>
      <c r="E13" s="677"/>
      <c r="F13" s="677"/>
      <c r="G13" s="647" t="s">
        <v>19</v>
      </c>
      <c r="H13" s="674" t="s">
        <v>20</v>
      </c>
      <c r="I13" s="653" t="s">
        <v>17</v>
      </c>
      <c r="J13" s="676" t="s">
        <v>18</v>
      </c>
      <c r="K13" s="677"/>
      <c r="L13" s="677"/>
      <c r="M13" s="647" t="s">
        <v>19</v>
      </c>
      <c r="N13" s="674" t="s">
        <v>20</v>
      </c>
      <c r="O13" s="653" t="s">
        <v>17</v>
      </c>
      <c r="P13" s="676" t="s">
        <v>18</v>
      </c>
      <c r="Q13" s="677"/>
      <c r="R13" s="677"/>
      <c r="S13" s="647" t="s">
        <v>19</v>
      </c>
      <c r="T13" s="674" t="s">
        <v>20</v>
      </c>
      <c r="U13" s="653" t="s">
        <v>17</v>
      </c>
      <c r="V13" s="676" t="s">
        <v>18</v>
      </c>
      <c r="W13" s="677"/>
      <c r="X13" s="677"/>
      <c r="Y13" s="647" t="s">
        <v>19</v>
      </c>
      <c r="Z13" s="674" t="s">
        <v>20</v>
      </c>
      <c r="AA13" s="653" t="s">
        <v>17</v>
      </c>
      <c r="AB13" s="682"/>
      <c r="AC13" s="3"/>
      <c r="AD13" s="3"/>
    </row>
    <row r="14" spans="1:30" ht="15.75" thickBot="1" x14ac:dyDescent="0.3">
      <c r="A14" s="3"/>
      <c r="B14" s="177"/>
      <c r="C14" s="178"/>
      <c r="D14" s="179" t="s">
        <v>21</v>
      </c>
      <c r="E14" s="180" t="s">
        <v>22</v>
      </c>
      <c r="F14" s="180" t="s">
        <v>23</v>
      </c>
      <c r="G14" s="648"/>
      <c r="H14" s="675"/>
      <c r="I14" s="654"/>
      <c r="J14" s="179" t="s">
        <v>21</v>
      </c>
      <c r="K14" s="180" t="s">
        <v>22</v>
      </c>
      <c r="L14" s="180" t="s">
        <v>23</v>
      </c>
      <c r="M14" s="648"/>
      <c r="N14" s="675"/>
      <c r="O14" s="654"/>
      <c r="P14" s="179" t="s">
        <v>21</v>
      </c>
      <c r="Q14" s="180" t="s">
        <v>22</v>
      </c>
      <c r="R14" s="180" t="s">
        <v>23</v>
      </c>
      <c r="S14" s="648"/>
      <c r="T14" s="675"/>
      <c r="U14" s="654"/>
      <c r="V14" s="179" t="s">
        <v>21</v>
      </c>
      <c r="W14" s="180" t="s">
        <v>22</v>
      </c>
      <c r="X14" s="180" t="s">
        <v>23</v>
      </c>
      <c r="Y14" s="648"/>
      <c r="Z14" s="675"/>
      <c r="AA14" s="654"/>
      <c r="AB14" s="683"/>
      <c r="AC14" s="3"/>
      <c r="AD14" s="3"/>
    </row>
    <row r="15" spans="1:30" x14ac:dyDescent="0.25">
      <c r="A15" s="3"/>
      <c r="B15" s="181" t="s">
        <v>24</v>
      </c>
      <c r="C15" s="182" t="s">
        <v>25</v>
      </c>
      <c r="D15" s="183">
        <v>0</v>
      </c>
      <c r="E15" s="184">
        <v>0</v>
      </c>
      <c r="F15" s="185">
        <v>38868619.619999997</v>
      </c>
      <c r="G15" s="186">
        <f>SUM(D15:F15)</f>
        <v>38868619.619999997</v>
      </c>
      <c r="H15" s="187">
        <v>9739021.9700000007</v>
      </c>
      <c r="I15" s="188">
        <f>G15+H15</f>
        <v>48607641.589999996</v>
      </c>
      <c r="J15" s="385"/>
      <c r="K15" s="386">
        <v>0</v>
      </c>
      <c r="L15" s="387">
        <v>42000000</v>
      </c>
      <c r="M15" s="388">
        <f t="shared" ref="M15:M23" si="0">SUM(J15:L15)</f>
        <v>42000000</v>
      </c>
      <c r="N15" s="389">
        <v>9000000</v>
      </c>
      <c r="O15" s="189">
        <f>M15+N15</f>
        <v>51000000</v>
      </c>
      <c r="P15" s="183"/>
      <c r="Q15" s="184"/>
      <c r="R15" s="185">
        <v>16072681.699999999</v>
      </c>
      <c r="S15" s="195">
        <f t="shared" ref="S15:S23" si="1">SUM(P15:R15)</f>
        <v>16072681.699999999</v>
      </c>
      <c r="T15" s="187">
        <v>4875093.9000000004</v>
      </c>
      <c r="U15" s="188">
        <f>S15+T15</f>
        <v>20947775.600000001</v>
      </c>
      <c r="V15" s="183"/>
      <c r="W15" s="184"/>
      <c r="X15" s="185">
        <v>43500000</v>
      </c>
      <c r="Y15" s="195">
        <f t="shared" ref="Y15:Y23" si="2">SUM(V15:X15)</f>
        <v>43500000</v>
      </c>
      <c r="Z15" s="187">
        <v>9500000</v>
      </c>
      <c r="AA15" s="188">
        <f>Y15+Z15</f>
        <v>53000000</v>
      </c>
      <c r="AB15" s="190">
        <f>(AA15/O15)</f>
        <v>1.0392156862745099</v>
      </c>
      <c r="AC15" s="3"/>
      <c r="AD15" s="3"/>
    </row>
    <row r="16" spans="1:30" x14ac:dyDescent="0.25">
      <c r="A16" s="3"/>
      <c r="B16" s="191" t="s">
        <v>26</v>
      </c>
      <c r="C16" s="192" t="s">
        <v>27</v>
      </c>
      <c r="D16" s="193">
        <v>54300000</v>
      </c>
      <c r="E16" s="194"/>
      <c r="F16" s="194"/>
      <c r="G16" s="195">
        <f t="shared" ref="G16:G23" si="3">SUM(D16:F16)</f>
        <v>54300000</v>
      </c>
      <c r="H16" s="196"/>
      <c r="I16" s="188">
        <f t="shared" ref="I16:I23" si="4">G16+H16</f>
        <v>54300000</v>
      </c>
      <c r="J16" s="390">
        <v>52000000</v>
      </c>
      <c r="K16" s="391"/>
      <c r="L16" s="391"/>
      <c r="M16" s="392">
        <f t="shared" si="0"/>
        <v>52000000</v>
      </c>
      <c r="N16" s="393"/>
      <c r="O16" s="189">
        <f t="shared" ref="O16:O20" si="5">M16+N16</f>
        <v>52000000</v>
      </c>
      <c r="P16" s="193">
        <v>26000000</v>
      </c>
      <c r="Q16" s="194"/>
      <c r="R16" s="194"/>
      <c r="S16" s="195">
        <f t="shared" si="1"/>
        <v>26000000</v>
      </c>
      <c r="T16" s="196"/>
      <c r="U16" s="188">
        <f t="shared" ref="U16:U20" si="6">S16+T16</f>
        <v>26000000</v>
      </c>
      <c r="V16" s="193">
        <v>55000000</v>
      </c>
      <c r="W16" s="194"/>
      <c r="X16" s="194"/>
      <c r="Y16" s="195">
        <f t="shared" si="2"/>
        <v>55000000</v>
      </c>
      <c r="Z16" s="196"/>
      <c r="AA16" s="188">
        <f t="shared" ref="AA16:AA20" si="7">Y16+Z16</f>
        <v>55000000</v>
      </c>
      <c r="AB16" s="190">
        <f t="shared" ref="AB16:AB24" si="8">(AA16/O16)</f>
        <v>1.0576923076923077</v>
      </c>
      <c r="AC16" s="3"/>
      <c r="AD16" s="3"/>
    </row>
    <row r="17" spans="1:30" x14ac:dyDescent="0.25">
      <c r="A17" s="3"/>
      <c r="B17" s="191" t="s">
        <v>28</v>
      </c>
      <c r="C17" s="197" t="s">
        <v>29</v>
      </c>
      <c r="D17" s="29"/>
      <c r="E17" s="198">
        <v>0</v>
      </c>
      <c r="F17" s="198"/>
      <c r="G17" s="195">
        <f t="shared" si="3"/>
        <v>0</v>
      </c>
      <c r="H17" s="199"/>
      <c r="I17" s="188">
        <f t="shared" si="4"/>
        <v>0</v>
      </c>
      <c r="J17" s="342"/>
      <c r="K17" s="394"/>
      <c r="L17" s="394"/>
      <c r="M17" s="392">
        <f t="shared" si="0"/>
        <v>0</v>
      </c>
      <c r="N17" s="395"/>
      <c r="O17" s="189">
        <f t="shared" si="5"/>
        <v>0</v>
      </c>
      <c r="P17" s="29"/>
      <c r="Q17" s="198"/>
      <c r="R17" s="198"/>
      <c r="S17" s="195">
        <f t="shared" si="1"/>
        <v>0</v>
      </c>
      <c r="T17" s="199"/>
      <c r="U17" s="188">
        <f t="shared" si="6"/>
        <v>0</v>
      </c>
      <c r="V17" s="29"/>
      <c r="W17" s="198"/>
      <c r="X17" s="198"/>
      <c r="Y17" s="195">
        <f t="shared" si="2"/>
        <v>0</v>
      </c>
      <c r="Z17" s="199"/>
      <c r="AA17" s="188">
        <f t="shared" si="7"/>
        <v>0</v>
      </c>
      <c r="AB17" s="190" t="e">
        <f t="shared" si="8"/>
        <v>#DIV/0!</v>
      </c>
      <c r="AC17" s="3"/>
      <c r="AD17" s="3"/>
    </row>
    <row r="18" spans="1:30" x14ac:dyDescent="0.25">
      <c r="A18" s="3"/>
      <c r="B18" s="191" t="s">
        <v>30</v>
      </c>
      <c r="C18" s="200" t="s">
        <v>31</v>
      </c>
      <c r="D18" s="201"/>
      <c r="E18" s="37">
        <v>1546350.57</v>
      </c>
      <c r="F18" s="198"/>
      <c r="G18" s="195">
        <f t="shared" si="3"/>
        <v>1546350.57</v>
      </c>
      <c r="H18" s="187"/>
      <c r="I18" s="188">
        <f t="shared" si="4"/>
        <v>1546350.57</v>
      </c>
      <c r="J18" s="396"/>
      <c r="K18" s="397">
        <v>1800000</v>
      </c>
      <c r="L18" s="394"/>
      <c r="M18" s="392">
        <f t="shared" si="0"/>
        <v>1800000</v>
      </c>
      <c r="N18" s="389"/>
      <c r="O18" s="189">
        <f t="shared" si="5"/>
        <v>1800000</v>
      </c>
      <c r="P18" s="201"/>
      <c r="Q18" s="458">
        <v>910599.25</v>
      </c>
      <c r="R18" s="198"/>
      <c r="S18" s="195">
        <f t="shared" si="1"/>
        <v>910599.25</v>
      </c>
      <c r="T18" s="187"/>
      <c r="U18" s="188">
        <f t="shared" si="6"/>
        <v>910599.25</v>
      </c>
      <c r="V18" s="201"/>
      <c r="W18" s="37">
        <v>1800000</v>
      </c>
      <c r="X18" s="198"/>
      <c r="Y18" s="195">
        <f t="shared" si="2"/>
        <v>1800000</v>
      </c>
      <c r="Z18" s="187"/>
      <c r="AA18" s="188">
        <f t="shared" si="7"/>
        <v>1800000</v>
      </c>
      <c r="AB18" s="190">
        <f t="shared" si="8"/>
        <v>1</v>
      </c>
      <c r="AC18" s="3"/>
      <c r="AD18" s="3"/>
    </row>
    <row r="19" spans="1:30" x14ac:dyDescent="0.25">
      <c r="A19" s="3"/>
      <c r="B19" s="191" t="s">
        <v>32</v>
      </c>
      <c r="C19" s="202" t="s">
        <v>33</v>
      </c>
      <c r="D19" s="203"/>
      <c r="E19" s="198"/>
      <c r="F19" s="37">
        <v>1268277.6000000001</v>
      </c>
      <c r="G19" s="195">
        <v>1239853.8700000001</v>
      </c>
      <c r="H19" s="187"/>
      <c r="I19" s="188">
        <f t="shared" si="4"/>
        <v>1239853.8700000001</v>
      </c>
      <c r="J19" s="398"/>
      <c r="K19" s="394"/>
      <c r="L19" s="397">
        <v>1200000</v>
      </c>
      <c r="M19" s="392">
        <f t="shared" si="0"/>
        <v>1200000</v>
      </c>
      <c r="N19" s="389"/>
      <c r="O19" s="189">
        <f t="shared" si="5"/>
        <v>1200000</v>
      </c>
      <c r="P19" s="203"/>
      <c r="Q19" s="198"/>
      <c r="R19" s="37">
        <v>526126.5</v>
      </c>
      <c r="S19" s="195">
        <f t="shared" si="1"/>
        <v>526126.5</v>
      </c>
      <c r="T19" s="187"/>
      <c r="U19" s="188">
        <f t="shared" si="6"/>
        <v>526126.5</v>
      </c>
      <c r="V19" s="203"/>
      <c r="W19" s="198"/>
      <c r="X19" s="37">
        <v>1100000</v>
      </c>
      <c r="Y19" s="195">
        <f t="shared" si="2"/>
        <v>1100000</v>
      </c>
      <c r="Z19" s="187"/>
      <c r="AA19" s="188">
        <f t="shared" si="7"/>
        <v>1100000</v>
      </c>
      <c r="AB19" s="190">
        <f t="shared" si="8"/>
        <v>0.91666666666666663</v>
      </c>
      <c r="AC19" s="3"/>
      <c r="AD19" s="3"/>
    </row>
    <row r="20" spans="1:30" x14ac:dyDescent="0.25">
      <c r="A20" s="3"/>
      <c r="B20" s="191" t="s">
        <v>34</v>
      </c>
      <c r="C20" s="204" t="s">
        <v>35</v>
      </c>
      <c r="D20" s="201"/>
      <c r="E20" s="194"/>
      <c r="F20" s="205"/>
      <c r="G20" s="195">
        <f t="shared" si="3"/>
        <v>0</v>
      </c>
      <c r="H20" s="187"/>
      <c r="I20" s="188">
        <f t="shared" si="4"/>
        <v>0</v>
      </c>
      <c r="J20" s="396"/>
      <c r="K20" s="391"/>
      <c r="L20" s="399">
        <v>2000000</v>
      </c>
      <c r="M20" s="392">
        <f t="shared" si="0"/>
        <v>2000000</v>
      </c>
      <c r="N20" s="389"/>
      <c r="O20" s="189">
        <f t="shared" si="5"/>
        <v>2000000</v>
      </c>
      <c r="P20" s="201"/>
      <c r="Q20" s="194"/>
      <c r="R20" s="205"/>
      <c r="S20" s="195">
        <f t="shared" si="1"/>
        <v>0</v>
      </c>
      <c r="T20" s="187"/>
      <c r="U20" s="188">
        <f t="shared" si="6"/>
        <v>0</v>
      </c>
      <c r="V20" s="201"/>
      <c r="W20" s="194"/>
      <c r="X20" s="205">
        <v>3500000</v>
      </c>
      <c r="Y20" s="195">
        <f t="shared" si="2"/>
        <v>3500000</v>
      </c>
      <c r="Z20" s="187"/>
      <c r="AA20" s="188">
        <f t="shared" si="7"/>
        <v>3500000</v>
      </c>
      <c r="AB20" s="190">
        <f t="shared" si="8"/>
        <v>1.75</v>
      </c>
      <c r="AC20" s="3"/>
      <c r="AD20" s="3"/>
    </row>
    <row r="21" spans="1:30" x14ac:dyDescent="0.25">
      <c r="A21" s="3"/>
      <c r="B21" s="191" t="s">
        <v>36</v>
      </c>
      <c r="C21" s="206" t="s">
        <v>37</v>
      </c>
      <c r="D21" s="201"/>
      <c r="E21" s="194"/>
      <c r="F21" s="205"/>
      <c r="G21" s="195">
        <v>5141838.49</v>
      </c>
      <c r="H21" s="207">
        <v>1625880.59</v>
      </c>
      <c r="I21" s="188">
        <f>G21+H21</f>
        <v>6767719.0800000001</v>
      </c>
      <c r="J21" s="396"/>
      <c r="K21" s="391"/>
      <c r="L21" s="399">
        <v>3500000</v>
      </c>
      <c r="M21" s="392">
        <f t="shared" si="0"/>
        <v>3500000</v>
      </c>
      <c r="N21" s="400">
        <v>1500000</v>
      </c>
      <c r="O21" s="189">
        <f>M21+N21</f>
        <v>5000000</v>
      </c>
      <c r="P21" s="201"/>
      <c r="Q21" s="194"/>
      <c r="R21" s="205">
        <v>1572298.5</v>
      </c>
      <c r="S21" s="195">
        <f t="shared" si="1"/>
        <v>1572298.5</v>
      </c>
      <c r="T21" s="207">
        <v>784559.5</v>
      </c>
      <c r="U21" s="188">
        <f>S21+T21</f>
        <v>2356858</v>
      </c>
      <c r="V21" s="201"/>
      <c r="W21" s="194"/>
      <c r="X21" s="205">
        <v>4500000</v>
      </c>
      <c r="Y21" s="195">
        <f t="shared" si="2"/>
        <v>4500000</v>
      </c>
      <c r="Z21" s="207">
        <v>1500000</v>
      </c>
      <c r="AA21" s="188">
        <f>Y21+Z21</f>
        <v>6000000</v>
      </c>
      <c r="AB21" s="190">
        <f t="shared" si="8"/>
        <v>1.2</v>
      </c>
      <c r="AC21" s="3"/>
      <c r="AD21" s="3"/>
    </row>
    <row r="22" spans="1:30" x14ac:dyDescent="0.25">
      <c r="A22" s="3"/>
      <c r="B22" s="191" t="s">
        <v>38</v>
      </c>
      <c r="C22" s="206" t="s">
        <v>39</v>
      </c>
      <c r="D22" s="201"/>
      <c r="E22" s="194"/>
      <c r="F22" s="205"/>
      <c r="G22" s="195">
        <f t="shared" si="3"/>
        <v>0</v>
      </c>
      <c r="H22" s="207"/>
      <c r="I22" s="188">
        <f t="shared" si="4"/>
        <v>0</v>
      </c>
      <c r="J22" s="396"/>
      <c r="K22" s="391"/>
      <c r="L22" s="399"/>
      <c r="M22" s="392">
        <f t="shared" si="0"/>
        <v>0</v>
      </c>
      <c r="N22" s="400"/>
      <c r="O22" s="189">
        <f t="shared" ref="O22:O23" si="9">M22+N22</f>
        <v>0</v>
      </c>
      <c r="P22" s="201"/>
      <c r="Q22" s="194"/>
      <c r="R22" s="205"/>
      <c r="S22" s="195">
        <f t="shared" si="1"/>
        <v>0</v>
      </c>
      <c r="T22" s="207"/>
      <c r="U22" s="188">
        <f t="shared" ref="U22:U23" si="10">S22+T22</f>
        <v>0</v>
      </c>
      <c r="V22" s="201"/>
      <c r="W22" s="194"/>
      <c r="X22" s="205"/>
      <c r="Y22" s="195">
        <f t="shared" si="2"/>
        <v>0</v>
      </c>
      <c r="Z22" s="207"/>
      <c r="AA22" s="188">
        <f t="shared" ref="AA22:AA23" si="11">Y22+Z22</f>
        <v>0</v>
      </c>
      <c r="AB22" s="190" t="e">
        <f t="shared" si="8"/>
        <v>#DIV/0!</v>
      </c>
      <c r="AC22" s="3"/>
      <c r="AD22" s="3"/>
    </row>
    <row r="23" spans="1:30" ht="15.75" thickBot="1" x14ac:dyDescent="0.3">
      <c r="A23" s="3"/>
      <c r="B23" s="208" t="s">
        <v>40</v>
      </c>
      <c r="C23" s="209" t="s">
        <v>41</v>
      </c>
      <c r="D23" s="210"/>
      <c r="E23" s="211"/>
      <c r="F23" s="212"/>
      <c r="G23" s="213">
        <f t="shared" si="3"/>
        <v>0</v>
      </c>
      <c r="H23" s="214"/>
      <c r="I23" s="215">
        <f t="shared" si="4"/>
        <v>0</v>
      </c>
      <c r="J23" s="401"/>
      <c r="K23" s="402"/>
      <c r="L23" s="403"/>
      <c r="M23" s="404">
        <f t="shared" si="0"/>
        <v>0</v>
      </c>
      <c r="N23" s="405"/>
      <c r="O23" s="216">
        <f t="shared" si="9"/>
        <v>0</v>
      </c>
      <c r="P23" s="210"/>
      <c r="Q23" s="211"/>
      <c r="R23" s="212"/>
      <c r="S23" s="213">
        <f t="shared" si="1"/>
        <v>0</v>
      </c>
      <c r="T23" s="214"/>
      <c r="U23" s="215">
        <f t="shared" si="10"/>
        <v>0</v>
      </c>
      <c r="V23" s="210"/>
      <c r="W23" s="211"/>
      <c r="X23" s="212"/>
      <c r="Y23" s="213">
        <f t="shared" si="2"/>
        <v>0</v>
      </c>
      <c r="Z23" s="214"/>
      <c r="AA23" s="215">
        <f t="shared" si="11"/>
        <v>0</v>
      </c>
      <c r="AB23" s="217" t="e">
        <f t="shared" si="8"/>
        <v>#DIV/0!</v>
      </c>
      <c r="AC23" s="3"/>
      <c r="AD23" s="3"/>
    </row>
    <row r="24" spans="1:30" ht="15.75" thickBot="1" x14ac:dyDescent="0.3">
      <c r="A24" s="3"/>
      <c r="B24" s="218" t="s">
        <v>42</v>
      </c>
      <c r="C24" s="219" t="s">
        <v>43</v>
      </c>
      <c r="D24" s="220">
        <f t="shared" ref="D24:L24" si="12">SUM(D15:D21)</f>
        <v>54300000</v>
      </c>
      <c r="E24" s="221">
        <f t="shared" si="12"/>
        <v>1546350.57</v>
      </c>
      <c r="F24" s="221">
        <f t="shared" si="12"/>
        <v>40136897.219999999</v>
      </c>
      <c r="G24" s="221">
        <f t="shared" si="12"/>
        <v>101096662.55</v>
      </c>
      <c r="H24" s="223">
        <f t="shared" si="12"/>
        <v>11364902.560000001</v>
      </c>
      <c r="I24" s="223">
        <f t="shared" si="12"/>
        <v>112461565.11</v>
      </c>
      <c r="J24" s="224">
        <f t="shared" si="12"/>
        <v>52000000</v>
      </c>
      <c r="K24" s="225">
        <f t="shared" si="12"/>
        <v>1800000</v>
      </c>
      <c r="L24" s="225">
        <f t="shared" si="12"/>
        <v>48700000</v>
      </c>
      <c r="M24" s="226">
        <f>SUM(J24:L24)</f>
        <v>102500000</v>
      </c>
      <c r="N24" s="227">
        <f>SUM(N15:N21)</f>
        <v>10500000</v>
      </c>
      <c r="O24" s="227">
        <f>SUM(O15:O21)</f>
        <v>113000000</v>
      </c>
      <c r="P24" s="220">
        <f>SUM(P15:P21)</f>
        <v>26000000</v>
      </c>
      <c r="Q24" s="221">
        <f>SUM(Q15:Q21)</f>
        <v>910599.25</v>
      </c>
      <c r="R24" s="221">
        <f>SUM(R15:R21)</f>
        <v>18171106.699999999</v>
      </c>
      <c r="S24" s="222">
        <f>SUM(P24:R24)</f>
        <v>45081705.950000003</v>
      </c>
      <c r="T24" s="223">
        <f>SUM(T15:T21)</f>
        <v>5659653.4000000004</v>
      </c>
      <c r="U24" s="223">
        <f>SUM(U15:U21)</f>
        <v>50741359.350000001</v>
      </c>
      <c r="V24" s="220">
        <f>SUM(V15:V21)</f>
        <v>55000000</v>
      </c>
      <c r="W24" s="221">
        <f>SUM(W15:W21)</f>
        <v>1800000</v>
      </c>
      <c r="X24" s="221">
        <f>SUM(X15:X21)</f>
        <v>52600000</v>
      </c>
      <c r="Y24" s="222">
        <f>SUM(V24:X24)</f>
        <v>109400000</v>
      </c>
      <c r="Z24" s="223">
        <f>SUM(Z15:Z21)</f>
        <v>11000000</v>
      </c>
      <c r="AA24" s="223">
        <f>SUM(AA15:AA21)</f>
        <v>120400000</v>
      </c>
      <c r="AB24" s="228">
        <f t="shared" si="8"/>
        <v>1.0654867256637168</v>
      </c>
      <c r="AC24" s="3"/>
      <c r="AD24" s="3"/>
    </row>
    <row r="25" spans="1:30" ht="15.75" customHeight="1" thickBot="1" x14ac:dyDescent="0.3">
      <c r="A25" s="3"/>
      <c r="B25" s="229"/>
      <c r="C25" s="230"/>
      <c r="D25" s="655" t="s">
        <v>44</v>
      </c>
      <c r="E25" s="656"/>
      <c r="F25" s="656"/>
      <c r="G25" s="657"/>
      <c r="H25" s="657"/>
      <c r="I25" s="658"/>
      <c r="J25" s="659" t="s">
        <v>44</v>
      </c>
      <c r="K25" s="660"/>
      <c r="L25" s="660"/>
      <c r="M25" s="661"/>
      <c r="N25" s="661"/>
      <c r="O25" s="662"/>
      <c r="P25" s="655" t="s">
        <v>44</v>
      </c>
      <c r="Q25" s="656"/>
      <c r="R25" s="656"/>
      <c r="S25" s="657"/>
      <c r="T25" s="657"/>
      <c r="U25" s="658"/>
      <c r="V25" s="655" t="s">
        <v>44</v>
      </c>
      <c r="W25" s="656"/>
      <c r="X25" s="656"/>
      <c r="Y25" s="657"/>
      <c r="Z25" s="657"/>
      <c r="AA25" s="658"/>
      <c r="AB25" s="663" t="s">
        <v>13</v>
      </c>
      <c r="AC25" s="3"/>
      <c r="AD25" s="3"/>
    </row>
    <row r="26" spans="1:30" ht="15.75" thickBot="1" x14ac:dyDescent="0.3">
      <c r="A26" s="3"/>
      <c r="B26" s="649" t="s">
        <v>7</v>
      </c>
      <c r="C26" s="651" t="s">
        <v>8</v>
      </c>
      <c r="D26" s="645" t="s">
        <v>45</v>
      </c>
      <c r="E26" s="646"/>
      <c r="F26" s="646"/>
      <c r="G26" s="647" t="s">
        <v>46</v>
      </c>
      <c r="H26" s="637" t="s">
        <v>47</v>
      </c>
      <c r="I26" s="639" t="s">
        <v>44</v>
      </c>
      <c r="J26" s="666" t="s">
        <v>45</v>
      </c>
      <c r="K26" s="667"/>
      <c r="L26" s="667"/>
      <c r="M26" s="668" t="s">
        <v>46</v>
      </c>
      <c r="N26" s="670" t="s">
        <v>47</v>
      </c>
      <c r="O26" s="672" t="s">
        <v>44</v>
      </c>
      <c r="P26" s="645" t="s">
        <v>45</v>
      </c>
      <c r="Q26" s="646"/>
      <c r="R26" s="646"/>
      <c r="S26" s="647" t="s">
        <v>46</v>
      </c>
      <c r="T26" s="637" t="s">
        <v>47</v>
      </c>
      <c r="U26" s="639" t="s">
        <v>44</v>
      </c>
      <c r="V26" s="645" t="s">
        <v>45</v>
      </c>
      <c r="W26" s="646"/>
      <c r="X26" s="646"/>
      <c r="Y26" s="647" t="s">
        <v>46</v>
      </c>
      <c r="Z26" s="637" t="s">
        <v>47</v>
      </c>
      <c r="AA26" s="639" t="s">
        <v>44</v>
      </c>
      <c r="AB26" s="664"/>
      <c r="AC26" s="3"/>
      <c r="AD26" s="3"/>
    </row>
    <row r="27" spans="1:30" ht="15.75" thickBot="1" x14ac:dyDescent="0.3">
      <c r="A27" s="3"/>
      <c r="B27" s="650"/>
      <c r="C27" s="652"/>
      <c r="D27" s="231" t="s">
        <v>48</v>
      </c>
      <c r="E27" s="232" t="s">
        <v>49</v>
      </c>
      <c r="F27" s="233" t="s">
        <v>50</v>
      </c>
      <c r="G27" s="648"/>
      <c r="H27" s="638"/>
      <c r="I27" s="640"/>
      <c r="J27" s="234" t="s">
        <v>48</v>
      </c>
      <c r="K27" s="235" t="s">
        <v>49</v>
      </c>
      <c r="L27" s="236" t="s">
        <v>50</v>
      </c>
      <c r="M27" s="669"/>
      <c r="N27" s="671"/>
      <c r="O27" s="673"/>
      <c r="P27" s="231" t="s">
        <v>48</v>
      </c>
      <c r="Q27" s="232" t="s">
        <v>49</v>
      </c>
      <c r="R27" s="233" t="s">
        <v>50</v>
      </c>
      <c r="S27" s="648"/>
      <c r="T27" s="638"/>
      <c r="U27" s="640"/>
      <c r="V27" s="231" t="s">
        <v>48</v>
      </c>
      <c r="W27" s="232" t="s">
        <v>49</v>
      </c>
      <c r="X27" s="233" t="s">
        <v>50</v>
      </c>
      <c r="Y27" s="648"/>
      <c r="Z27" s="638"/>
      <c r="AA27" s="640"/>
      <c r="AB27" s="665"/>
      <c r="AC27" s="3"/>
      <c r="AD27" s="3"/>
    </row>
    <row r="28" spans="1:30" x14ac:dyDescent="0.25">
      <c r="A28" s="3"/>
      <c r="B28" s="181" t="s">
        <v>51</v>
      </c>
      <c r="C28" s="182" t="s">
        <v>52</v>
      </c>
      <c r="D28" s="237">
        <v>3528344.88</v>
      </c>
      <c r="E28" s="237"/>
      <c r="F28" s="237">
        <v>3528344.9</v>
      </c>
      <c r="G28" s="238">
        <f>SUM(D28:F28)</f>
        <v>7056689.7799999993</v>
      </c>
      <c r="H28" s="238">
        <v>89439.39</v>
      </c>
      <c r="I28" s="239">
        <f>G28+H28</f>
        <v>7146129.169999999</v>
      </c>
      <c r="J28" s="406">
        <v>3500000</v>
      </c>
      <c r="K28" s="407"/>
      <c r="L28" s="407">
        <v>4300000</v>
      </c>
      <c r="M28" s="408">
        <f>SUM(J28:L28)</f>
        <v>7800000</v>
      </c>
      <c r="N28" s="408">
        <v>200000</v>
      </c>
      <c r="O28" s="241">
        <f>M28+N28</f>
        <v>8000000</v>
      </c>
      <c r="P28" s="240">
        <v>1750000</v>
      </c>
      <c r="Q28" s="237"/>
      <c r="R28" s="237">
        <v>1327042.3500000001</v>
      </c>
      <c r="S28" s="238">
        <f>SUM(P28:R28)</f>
        <v>3077042.35</v>
      </c>
      <c r="T28" s="238">
        <v>13740</v>
      </c>
      <c r="U28" s="239">
        <f>S28+T28</f>
        <v>3090782.35</v>
      </c>
      <c r="V28" s="459">
        <v>2400000</v>
      </c>
      <c r="W28" s="237"/>
      <c r="X28" s="237">
        <v>6400000</v>
      </c>
      <c r="Y28" s="238">
        <f>SUM(V28:X28)</f>
        <v>8800000</v>
      </c>
      <c r="Z28" s="238">
        <v>200000</v>
      </c>
      <c r="AA28" s="239">
        <f>Y28+Z28</f>
        <v>9000000</v>
      </c>
      <c r="AB28" s="190">
        <f t="shared" ref="AB28:AB41" si="13">(AA28/O28)</f>
        <v>1.125</v>
      </c>
      <c r="AC28" s="3"/>
      <c r="AD28" s="3"/>
    </row>
    <row r="29" spans="1:30" x14ac:dyDescent="0.25">
      <c r="A29" s="3"/>
      <c r="B29" s="191" t="s">
        <v>53</v>
      </c>
      <c r="C29" s="206" t="s">
        <v>54</v>
      </c>
      <c r="D29" s="242">
        <v>6685733.3200000003</v>
      </c>
      <c r="E29" s="242">
        <v>411252.59</v>
      </c>
      <c r="F29" s="242">
        <v>4700933.1100000003</v>
      </c>
      <c r="G29" s="243">
        <f t="shared" ref="G29:G38" si="14">SUM(D29:F29)</f>
        <v>11797919.02</v>
      </c>
      <c r="H29" s="243">
        <v>3659213.93</v>
      </c>
      <c r="I29" s="188">
        <f t="shared" ref="I29:I38" si="15">G29+H29</f>
        <v>15457132.949999999</v>
      </c>
      <c r="J29" s="245">
        <v>5589640</v>
      </c>
      <c r="K29" s="246">
        <v>600000</v>
      </c>
      <c r="L29" s="246">
        <v>4410360</v>
      </c>
      <c r="M29" s="247">
        <f t="shared" ref="M29:M38" si="16">SUM(J29:L29)</f>
        <v>10600000</v>
      </c>
      <c r="N29" s="247">
        <v>700000</v>
      </c>
      <c r="O29" s="189">
        <f t="shared" ref="O29:O38" si="17">M29+N29</f>
        <v>11300000</v>
      </c>
      <c r="P29" s="244">
        <v>2794820</v>
      </c>
      <c r="Q29" s="242">
        <v>337301.02</v>
      </c>
      <c r="R29" s="242">
        <v>2846050.21</v>
      </c>
      <c r="S29" s="243">
        <f t="shared" ref="S29:S38" si="18">SUM(P29:R29)</f>
        <v>5978171.2300000004</v>
      </c>
      <c r="T29" s="243">
        <v>1268632.22</v>
      </c>
      <c r="U29" s="188">
        <f t="shared" ref="U29:U38" si="19">S29+T29</f>
        <v>7246803.4500000002</v>
      </c>
      <c r="V29" s="460">
        <v>6000000</v>
      </c>
      <c r="W29" s="246">
        <v>600000</v>
      </c>
      <c r="X29" s="242">
        <v>6791000</v>
      </c>
      <c r="Y29" s="243">
        <f t="shared" ref="Y29:Y38" si="20">SUM(V29:X29)</f>
        <v>13391000</v>
      </c>
      <c r="Z29" s="243">
        <v>800000</v>
      </c>
      <c r="AA29" s="188">
        <f t="shared" ref="AA29:AA38" si="21">Y29+Z29</f>
        <v>14191000</v>
      </c>
      <c r="AB29" s="190">
        <f t="shared" si="13"/>
        <v>1.2558407079646017</v>
      </c>
      <c r="AC29" s="3"/>
      <c r="AD29" s="3"/>
    </row>
    <row r="30" spans="1:30" x14ac:dyDescent="0.25">
      <c r="A30" s="3"/>
      <c r="B30" s="191" t="s">
        <v>55</v>
      </c>
      <c r="C30" s="206" t="s">
        <v>56</v>
      </c>
      <c r="D30" s="242">
        <v>3199478.71</v>
      </c>
      <c r="E30" s="242">
        <v>124322.43</v>
      </c>
      <c r="F30" s="242">
        <v>3075156.22</v>
      </c>
      <c r="G30" s="243">
        <f t="shared" si="14"/>
        <v>6398957.3600000003</v>
      </c>
      <c r="H30" s="243">
        <v>378122.67</v>
      </c>
      <c r="I30" s="188">
        <f t="shared" si="15"/>
        <v>6777080.0300000003</v>
      </c>
      <c r="J30" s="245">
        <v>2700000</v>
      </c>
      <c r="K30" s="246">
        <v>50000</v>
      </c>
      <c r="L30" s="246">
        <v>3350000</v>
      </c>
      <c r="M30" s="247">
        <f t="shared" si="16"/>
        <v>6100000</v>
      </c>
      <c r="N30" s="247">
        <v>200000</v>
      </c>
      <c r="O30" s="189">
        <f t="shared" si="17"/>
        <v>6300000</v>
      </c>
      <c r="P30" s="244">
        <v>1350000</v>
      </c>
      <c r="Q30" s="242">
        <v>25000</v>
      </c>
      <c r="R30" s="242">
        <v>1451214.8</v>
      </c>
      <c r="S30" s="243">
        <f t="shared" si="18"/>
        <v>2826214.8</v>
      </c>
      <c r="T30" s="243">
        <v>0</v>
      </c>
      <c r="U30" s="188">
        <f t="shared" si="19"/>
        <v>2826214.8</v>
      </c>
      <c r="V30" s="460">
        <v>2050000</v>
      </c>
      <c r="W30" s="246">
        <v>50000</v>
      </c>
      <c r="X30" s="242">
        <v>3382000</v>
      </c>
      <c r="Y30" s="243">
        <f t="shared" si="20"/>
        <v>5482000</v>
      </c>
      <c r="Z30" s="243">
        <v>200000</v>
      </c>
      <c r="AA30" s="188">
        <v>5682000</v>
      </c>
      <c r="AB30" s="190">
        <f t="shared" si="13"/>
        <v>0.90190476190476188</v>
      </c>
      <c r="AC30" s="3"/>
      <c r="AD30" s="3"/>
    </row>
    <row r="31" spans="1:30" x14ac:dyDescent="0.25">
      <c r="A31" s="3"/>
      <c r="B31" s="191" t="s">
        <v>57</v>
      </c>
      <c r="C31" s="206" t="s">
        <v>58</v>
      </c>
      <c r="D31" s="242">
        <v>7685142.8600000003</v>
      </c>
      <c r="E31" s="242">
        <v>83903.01</v>
      </c>
      <c r="F31" s="242">
        <v>5685142.8600000003</v>
      </c>
      <c r="G31" s="243">
        <f t="shared" si="14"/>
        <v>13454188.73</v>
      </c>
      <c r="H31" s="243">
        <v>208950.91</v>
      </c>
      <c r="I31" s="188">
        <f t="shared" si="15"/>
        <v>13663139.640000001</v>
      </c>
      <c r="J31" s="245">
        <v>5000000</v>
      </c>
      <c r="K31" s="246">
        <v>200000</v>
      </c>
      <c r="L31" s="246">
        <v>7950000</v>
      </c>
      <c r="M31" s="247">
        <f t="shared" si="16"/>
        <v>13150000</v>
      </c>
      <c r="N31" s="247">
        <v>250000</v>
      </c>
      <c r="O31" s="189">
        <f t="shared" si="17"/>
        <v>13400000</v>
      </c>
      <c r="P31" s="244">
        <v>2500000</v>
      </c>
      <c r="Q31" s="242">
        <v>100000</v>
      </c>
      <c r="R31" s="242">
        <v>2986237.1</v>
      </c>
      <c r="S31" s="243">
        <f t="shared" si="18"/>
        <v>5586237.0999999996</v>
      </c>
      <c r="T31" s="243">
        <v>30579</v>
      </c>
      <c r="U31" s="188">
        <f t="shared" si="19"/>
        <v>5616816.0999999996</v>
      </c>
      <c r="V31" s="460">
        <v>3513000</v>
      </c>
      <c r="W31" s="246">
        <v>200000</v>
      </c>
      <c r="X31" s="242">
        <v>8287000</v>
      </c>
      <c r="Y31" s="243">
        <f t="shared" si="20"/>
        <v>12000000</v>
      </c>
      <c r="Z31" s="243">
        <v>400000</v>
      </c>
      <c r="AA31" s="188">
        <f t="shared" si="21"/>
        <v>12400000</v>
      </c>
      <c r="AB31" s="190">
        <f t="shared" si="13"/>
        <v>0.92537313432835822</v>
      </c>
      <c r="AC31" s="3"/>
      <c r="AD31" s="3"/>
    </row>
    <row r="32" spans="1:30" x14ac:dyDescent="0.25">
      <c r="A32" s="3"/>
      <c r="B32" s="191" t="s">
        <v>59</v>
      </c>
      <c r="C32" s="206" t="s">
        <v>60</v>
      </c>
      <c r="D32" s="461">
        <v>18728660.399999999</v>
      </c>
      <c r="E32" s="242">
        <v>465474</v>
      </c>
      <c r="F32" s="242">
        <v>18728660.399999999</v>
      </c>
      <c r="G32" s="243">
        <f t="shared" si="14"/>
        <v>37922794.799999997</v>
      </c>
      <c r="H32" s="243">
        <v>2797167.5</v>
      </c>
      <c r="I32" s="188">
        <f t="shared" si="15"/>
        <v>40719962.299999997</v>
      </c>
      <c r="J32" s="245">
        <v>19400000</v>
      </c>
      <c r="K32" s="246">
        <v>500000</v>
      </c>
      <c r="L32" s="246">
        <v>19870000</v>
      </c>
      <c r="M32" s="247">
        <f t="shared" si="16"/>
        <v>39770000</v>
      </c>
      <c r="N32" s="247">
        <v>3030000</v>
      </c>
      <c r="O32" s="189">
        <f t="shared" si="17"/>
        <v>42800000</v>
      </c>
      <c r="P32" s="460">
        <v>9700000</v>
      </c>
      <c r="Q32" s="242">
        <v>250000</v>
      </c>
      <c r="R32" s="242">
        <v>9369024.4900000002</v>
      </c>
      <c r="S32" s="243">
        <f t="shared" si="18"/>
        <v>19319024.490000002</v>
      </c>
      <c r="T32" s="243">
        <v>411406.32</v>
      </c>
      <c r="U32" s="188">
        <f t="shared" si="19"/>
        <v>19730430.810000002</v>
      </c>
      <c r="V32" s="460">
        <v>19600000</v>
      </c>
      <c r="W32" s="246">
        <v>500000</v>
      </c>
      <c r="X32" s="242">
        <v>20843000</v>
      </c>
      <c r="Y32" s="243">
        <f t="shared" si="20"/>
        <v>40943000</v>
      </c>
      <c r="Z32" s="243">
        <v>3157000</v>
      </c>
      <c r="AA32" s="188">
        <f t="shared" si="21"/>
        <v>44100000</v>
      </c>
      <c r="AB32" s="190">
        <f t="shared" si="13"/>
        <v>1.030373831775701</v>
      </c>
      <c r="AC32" s="3"/>
      <c r="AD32" s="3"/>
    </row>
    <row r="33" spans="1:30" x14ac:dyDescent="0.25">
      <c r="A33" s="3"/>
      <c r="B33" s="191" t="s">
        <v>61</v>
      </c>
      <c r="C33" s="202" t="s">
        <v>62</v>
      </c>
      <c r="D33" s="461">
        <v>17784397.789999999</v>
      </c>
      <c r="E33" s="242">
        <v>465474</v>
      </c>
      <c r="F33" s="242">
        <v>17784397.789999999</v>
      </c>
      <c r="G33" s="243">
        <f t="shared" si="14"/>
        <v>36034269.579999998</v>
      </c>
      <c r="H33" s="243">
        <v>2656925.4300000002</v>
      </c>
      <c r="I33" s="188">
        <f t="shared" si="15"/>
        <v>38691195.009999998</v>
      </c>
      <c r="J33" s="245">
        <v>17600000</v>
      </c>
      <c r="K33" s="246">
        <v>500000</v>
      </c>
      <c r="L33" s="246">
        <v>17170000</v>
      </c>
      <c r="M33" s="247">
        <f t="shared" si="16"/>
        <v>35270000</v>
      </c>
      <c r="N33" s="247">
        <v>2870000</v>
      </c>
      <c r="O33" s="189">
        <f t="shared" si="17"/>
        <v>38140000</v>
      </c>
      <c r="P33" s="460">
        <v>8800000</v>
      </c>
      <c r="Q33" s="242">
        <v>250000</v>
      </c>
      <c r="R33" s="242">
        <v>7871044</v>
      </c>
      <c r="S33" s="243">
        <f t="shared" si="18"/>
        <v>16921044</v>
      </c>
      <c r="T33" s="243">
        <v>351932</v>
      </c>
      <c r="U33" s="188">
        <f t="shared" si="19"/>
        <v>17272976</v>
      </c>
      <c r="V33" s="460">
        <v>17600000</v>
      </c>
      <c r="W33" s="246">
        <v>500000</v>
      </c>
      <c r="X33" s="242">
        <v>18658000</v>
      </c>
      <c r="Y33" s="243">
        <f t="shared" si="20"/>
        <v>36758000</v>
      </c>
      <c r="Z33" s="243">
        <v>2842000</v>
      </c>
      <c r="AA33" s="188">
        <f t="shared" si="21"/>
        <v>39600000</v>
      </c>
      <c r="AB33" s="190">
        <f t="shared" si="13"/>
        <v>1.038280020975354</v>
      </c>
      <c r="AC33" s="3"/>
      <c r="AD33" s="3"/>
    </row>
    <row r="34" spans="1:30" x14ac:dyDescent="0.25">
      <c r="A34" s="3"/>
      <c r="B34" s="191" t="s">
        <v>63</v>
      </c>
      <c r="C34" s="250" t="s">
        <v>64</v>
      </c>
      <c r="D34" s="461">
        <v>944262.61</v>
      </c>
      <c r="E34" s="242"/>
      <c r="F34" s="242">
        <v>944262.61</v>
      </c>
      <c r="G34" s="243">
        <f t="shared" si="14"/>
        <v>1888525.22</v>
      </c>
      <c r="H34" s="243">
        <v>140242.10999999999</v>
      </c>
      <c r="I34" s="188">
        <f t="shared" si="15"/>
        <v>2028767.33</v>
      </c>
      <c r="J34" s="245">
        <v>1800000</v>
      </c>
      <c r="K34" s="246">
        <v>0</v>
      </c>
      <c r="L34" s="246">
        <v>2700000</v>
      </c>
      <c r="M34" s="247">
        <f>SUM(J34:L34)</f>
        <v>4500000</v>
      </c>
      <c r="N34" s="247">
        <v>160000</v>
      </c>
      <c r="O34" s="189">
        <f t="shared" si="17"/>
        <v>4660000</v>
      </c>
      <c r="P34" s="460">
        <v>900000</v>
      </c>
      <c r="Q34" s="242"/>
      <c r="R34" s="242">
        <v>1497980.49</v>
      </c>
      <c r="S34" s="243">
        <f t="shared" si="18"/>
        <v>2397980.4900000002</v>
      </c>
      <c r="T34" s="243">
        <v>59474.32</v>
      </c>
      <c r="U34" s="188">
        <f t="shared" si="19"/>
        <v>2457454.81</v>
      </c>
      <c r="V34" s="460">
        <v>2000000</v>
      </c>
      <c r="W34" s="246">
        <v>0</v>
      </c>
      <c r="X34" s="242">
        <v>2185000</v>
      </c>
      <c r="Y34" s="243">
        <f t="shared" si="20"/>
        <v>4185000</v>
      </c>
      <c r="Z34" s="243">
        <v>315000</v>
      </c>
      <c r="AA34" s="188">
        <f t="shared" si="21"/>
        <v>4500000</v>
      </c>
      <c r="AB34" s="190">
        <f t="shared" si="13"/>
        <v>0.96566523605150212</v>
      </c>
      <c r="AC34" s="3"/>
      <c r="AD34" s="3"/>
    </row>
    <row r="35" spans="1:30" x14ac:dyDescent="0.25">
      <c r="A35" s="3"/>
      <c r="B35" s="191" t="s">
        <v>65</v>
      </c>
      <c r="C35" s="206" t="s">
        <v>66</v>
      </c>
      <c r="D35" s="461">
        <v>5737716.9800000004</v>
      </c>
      <c r="E35" s="242">
        <v>26389.85</v>
      </c>
      <c r="F35" s="242">
        <v>5737716.9800000004</v>
      </c>
      <c r="G35" s="243">
        <f t="shared" si="14"/>
        <v>11501823.810000001</v>
      </c>
      <c r="H35" s="243">
        <v>856754.19</v>
      </c>
      <c r="I35" s="188">
        <f t="shared" si="15"/>
        <v>12358578</v>
      </c>
      <c r="J35" s="245">
        <v>6210360</v>
      </c>
      <c r="K35" s="246">
        <v>0</v>
      </c>
      <c r="L35" s="246">
        <v>6154020</v>
      </c>
      <c r="M35" s="247">
        <f t="shared" si="16"/>
        <v>12364380</v>
      </c>
      <c r="N35" s="247">
        <v>975620</v>
      </c>
      <c r="O35" s="189">
        <f t="shared" si="17"/>
        <v>13340000</v>
      </c>
      <c r="P35" s="460">
        <v>3105180</v>
      </c>
      <c r="Q35" s="242"/>
      <c r="R35" s="242">
        <v>2775831.46</v>
      </c>
      <c r="S35" s="243">
        <f t="shared" si="18"/>
        <v>5881011.46</v>
      </c>
      <c r="T35" s="243">
        <v>119937.54</v>
      </c>
      <c r="U35" s="188">
        <f t="shared" si="19"/>
        <v>6000949</v>
      </c>
      <c r="V35" s="460">
        <v>9050000</v>
      </c>
      <c r="W35" s="246">
        <v>0</v>
      </c>
      <c r="X35" s="242">
        <v>4870000</v>
      </c>
      <c r="Y35" s="243">
        <f t="shared" si="20"/>
        <v>13920000</v>
      </c>
      <c r="Z35" s="243">
        <v>1074000</v>
      </c>
      <c r="AA35" s="188">
        <f t="shared" si="21"/>
        <v>14994000</v>
      </c>
      <c r="AB35" s="190">
        <f t="shared" si="13"/>
        <v>1.1239880059970015</v>
      </c>
      <c r="AC35" s="3"/>
      <c r="AD35" s="3"/>
    </row>
    <row r="36" spans="1:30" x14ac:dyDescent="0.25">
      <c r="A36" s="3"/>
      <c r="B36" s="191" t="s">
        <v>67</v>
      </c>
      <c r="C36" s="206" t="s">
        <v>68</v>
      </c>
      <c r="D36" s="242">
        <v>42990.54</v>
      </c>
      <c r="E36" s="242"/>
      <c r="F36" s="242"/>
      <c r="G36" s="243">
        <f t="shared" si="14"/>
        <v>42990.54</v>
      </c>
      <c r="H36" s="243">
        <v>6119.23</v>
      </c>
      <c r="I36" s="188">
        <f t="shared" si="15"/>
        <v>49109.770000000004</v>
      </c>
      <c r="J36" s="245">
        <v>50000</v>
      </c>
      <c r="K36" s="246">
        <v>0</v>
      </c>
      <c r="L36" s="246"/>
      <c r="M36" s="247">
        <f t="shared" si="16"/>
        <v>50000</v>
      </c>
      <c r="N36" s="247"/>
      <c r="O36" s="189">
        <f t="shared" si="17"/>
        <v>50000</v>
      </c>
      <c r="P36" s="460">
        <v>0</v>
      </c>
      <c r="Q36" s="242"/>
      <c r="R36" s="242">
        <v>12576.23</v>
      </c>
      <c r="S36" s="243">
        <f t="shared" si="18"/>
        <v>12576.23</v>
      </c>
      <c r="T36" s="243"/>
      <c r="U36" s="188">
        <f t="shared" si="19"/>
        <v>12576.23</v>
      </c>
      <c r="V36" s="460">
        <v>45000</v>
      </c>
      <c r="W36" s="246">
        <v>0</v>
      </c>
      <c r="X36" s="242">
        <v>0</v>
      </c>
      <c r="Y36" s="243">
        <f t="shared" si="20"/>
        <v>45000</v>
      </c>
      <c r="Z36" s="243">
        <v>0</v>
      </c>
      <c r="AA36" s="188">
        <f t="shared" si="21"/>
        <v>45000</v>
      </c>
      <c r="AB36" s="190">
        <f t="shared" si="13"/>
        <v>0.9</v>
      </c>
      <c r="AC36" s="3"/>
      <c r="AD36" s="3"/>
    </row>
    <row r="37" spans="1:30" x14ac:dyDescent="0.25">
      <c r="A37" s="3"/>
      <c r="B37" s="191" t="s">
        <v>69</v>
      </c>
      <c r="C37" s="206" t="s">
        <v>70</v>
      </c>
      <c r="D37" s="242">
        <v>8649579.1899999995</v>
      </c>
      <c r="E37" s="242"/>
      <c r="F37" s="242"/>
      <c r="G37" s="243">
        <f t="shared" si="14"/>
        <v>8649579.1899999995</v>
      </c>
      <c r="H37" s="243">
        <v>1645057.49</v>
      </c>
      <c r="I37" s="188">
        <f t="shared" si="15"/>
        <v>10294636.68</v>
      </c>
      <c r="J37" s="245">
        <v>8500000</v>
      </c>
      <c r="K37" s="246"/>
      <c r="L37" s="246"/>
      <c r="M37" s="247">
        <f t="shared" si="16"/>
        <v>8500000</v>
      </c>
      <c r="N37" s="247">
        <v>1700000</v>
      </c>
      <c r="O37" s="189">
        <f t="shared" si="17"/>
        <v>10200000</v>
      </c>
      <c r="P37" s="460">
        <v>4683700</v>
      </c>
      <c r="Q37" s="242"/>
      <c r="R37" s="242">
        <v>0</v>
      </c>
      <c r="S37" s="243">
        <f t="shared" si="18"/>
        <v>4683700</v>
      </c>
      <c r="T37" s="243">
        <v>748081</v>
      </c>
      <c r="U37" s="188">
        <f t="shared" si="19"/>
        <v>5431781</v>
      </c>
      <c r="V37" s="460">
        <v>11042000</v>
      </c>
      <c r="W37" s="246"/>
      <c r="X37" s="242">
        <v>0</v>
      </c>
      <c r="Y37" s="243">
        <f t="shared" si="20"/>
        <v>11042000</v>
      </c>
      <c r="Z37" s="243">
        <v>1446000</v>
      </c>
      <c r="AA37" s="188">
        <f t="shared" si="21"/>
        <v>12488000</v>
      </c>
      <c r="AB37" s="190">
        <f t="shared" si="13"/>
        <v>1.2243137254901961</v>
      </c>
      <c r="AC37" s="3"/>
      <c r="AD37" s="3"/>
    </row>
    <row r="38" spans="1:30" ht="15.75" thickBot="1" x14ac:dyDescent="0.3">
      <c r="A38" s="3"/>
      <c r="B38" s="409" t="s">
        <v>71</v>
      </c>
      <c r="C38" s="251" t="s">
        <v>72</v>
      </c>
      <c r="D38" s="85">
        <v>42353.1</v>
      </c>
      <c r="E38" s="85">
        <v>435008.7</v>
      </c>
      <c r="F38" s="85">
        <v>2722306.15</v>
      </c>
      <c r="G38" s="243">
        <f t="shared" si="14"/>
        <v>3199667.9499999997</v>
      </c>
      <c r="H38" s="252">
        <v>193875.02</v>
      </c>
      <c r="I38" s="215">
        <f t="shared" si="15"/>
        <v>3393542.9699999997</v>
      </c>
      <c r="J38" s="410">
        <v>1050000</v>
      </c>
      <c r="K38" s="411">
        <v>450000</v>
      </c>
      <c r="L38" s="411">
        <v>3078000</v>
      </c>
      <c r="M38" s="412">
        <f t="shared" si="16"/>
        <v>4578000</v>
      </c>
      <c r="N38" s="412">
        <v>3032000</v>
      </c>
      <c r="O38" s="216">
        <f t="shared" si="17"/>
        <v>7610000</v>
      </c>
      <c r="P38" s="462">
        <v>116300</v>
      </c>
      <c r="Q38" s="85">
        <v>198298.23</v>
      </c>
      <c r="R38" s="85">
        <v>839266.95</v>
      </c>
      <c r="S38" s="252">
        <f t="shared" si="18"/>
        <v>1153865.18</v>
      </c>
      <c r="T38" s="252">
        <v>22272</v>
      </c>
      <c r="U38" s="215">
        <f t="shared" si="19"/>
        <v>1176137.18</v>
      </c>
      <c r="V38" s="462">
        <v>1300000</v>
      </c>
      <c r="W38" s="411">
        <v>450000</v>
      </c>
      <c r="X38" s="85">
        <v>2650000</v>
      </c>
      <c r="Y38" s="252">
        <f t="shared" si="20"/>
        <v>4400000</v>
      </c>
      <c r="Z38" s="252">
        <v>3100000</v>
      </c>
      <c r="AA38" s="215">
        <f t="shared" si="21"/>
        <v>7500000</v>
      </c>
      <c r="AB38" s="217">
        <f t="shared" si="13"/>
        <v>0.98554533508541398</v>
      </c>
      <c r="AC38" s="3"/>
      <c r="AD38" s="3"/>
    </row>
    <row r="39" spans="1:30" ht="15.75" thickBot="1" x14ac:dyDescent="0.3">
      <c r="A39" s="3"/>
      <c r="B39" s="218" t="s">
        <v>73</v>
      </c>
      <c r="C39" s="255" t="s">
        <v>74</v>
      </c>
      <c r="D39" s="256">
        <f>SUM(D35:D38)+SUM(D28:D32)</f>
        <v>54299999.980000004</v>
      </c>
      <c r="E39" s="256">
        <f>SUM(E35:E38)+SUM(E28:E32)</f>
        <v>1546350.58</v>
      </c>
      <c r="F39" s="256">
        <f>SUM(F35:F38)+SUM(F28:F32)</f>
        <v>44178260.619999997</v>
      </c>
      <c r="G39" s="257">
        <f>SUM(D39:F39)</f>
        <v>100024611.18000001</v>
      </c>
      <c r="H39" s="258">
        <f>SUM(H28:H32)+SUM(H35:H38)</f>
        <v>9834700.3300000001</v>
      </c>
      <c r="I39" s="259">
        <f>SUM(I35:I38)+SUM(I28:I32)</f>
        <v>109859311.51000001</v>
      </c>
      <c r="J39" s="260">
        <f>SUM(J35:J38)+SUM(J28:J32)</f>
        <v>52000000</v>
      </c>
      <c r="K39" s="260">
        <f>SUM(K35:K38)+SUM(K28:K32)</f>
        <v>1800000</v>
      </c>
      <c r="L39" s="260">
        <f>SUM(L35:L38)+SUM(L28:L32)</f>
        <v>49112380</v>
      </c>
      <c r="M39" s="261">
        <f>SUM(J39:L39)</f>
        <v>102912380</v>
      </c>
      <c r="N39" s="262">
        <f>SUM(N28:N32)+SUM(N35:N38)</f>
        <v>10087620</v>
      </c>
      <c r="O39" s="263">
        <f>SUM(O35:O38)+SUM(O28:O32)</f>
        <v>113000000</v>
      </c>
      <c r="P39" s="256">
        <f>SUM(P35:P38)+SUM(P28:P32)</f>
        <v>26000000</v>
      </c>
      <c r="Q39" s="256">
        <f>SUM(Q35:Q38)+SUM(Q28:Q32)</f>
        <v>910599.25</v>
      </c>
      <c r="R39" s="256">
        <f>SUM(R35:R38)+SUM(R28:R32)</f>
        <v>21607243.590000004</v>
      </c>
      <c r="S39" s="257">
        <f>SUM(P39:R39)</f>
        <v>48517842.840000004</v>
      </c>
      <c r="T39" s="258">
        <f>SUM(T28:T32)+SUM(T35:T38)</f>
        <v>2614648.08</v>
      </c>
      <c r="U39" s="259">
        <f>SUM(U35:U38)+SUM(U28:U32)</f>
        <v>51132490.920000002</v>
      </c>
      <c r="V39" s="256">
        <f>SUM(V35:V38)+SUM(V28:V32)</f>
        <v>55000000</v>
      </c>
      <c r="W39" s="256">
        <f>SUM(W35:W38)+SUM(W28:W32)</f>
        <v>1800000</v>
      </c>
      <c r="X39" s="256">
        <f>SUM(X35:X38)+SUM(X28:X32)</f>
        <v>53223000</v>
      </c>
      <c r="Y39" s="257">
        <f>SUM(V39:X39)</f>
        <v>110023000</v>
      </c>
      <c r="Z39" s="258">
        <f>SUM(Z28:Z32)+SUM(Z35:Z38)</f>
        <v>10377000</v>
      </c>
      <c r="AA39" s="259">
        <f>SUM(AA35:AA38)+SUM(AA28:AA32)</f>
        <v>120400000</v>
      </c>
      <c r="AB39" s="264">
        <f t="shared" si="13"/>
        <v>1.0654867256637168</v>
      </c>
      <c r="AC39" s="3"/>
      <c r="AD39" s="3"/>
    </row>
    <row r="40" spans="1:30" ht="19.5" thickBot="1" x14ac:dyDescent="0.35">
      <c r="A40" s="3"/>
      <c r="B40" s="265" t="s">
        <v>75</v>
      </c>
      <c r="C40" s="266" t="s">
        <v>76</v>
      </c>
      <c r="D40" s="267">
        <f t="shared" ref="D40:AA40" si="22">D24-D39</f>
        <v>1.9999995827674866E-2</v>
      </c>
      <c r="E40" s="267">
        <f t="shared" si="22"/>
        <v>-1.0000000009313226E-2</v>
      </c>
      <c r="F40" s="267">
        <f t="shared" si="22"/>
        <v>-4041363.3999999985</v>
      </c>
      <c r="G40" s="268">
        <f t="shared" si="22"/>
        <v>1072051.3699999899</v>
      </c>
      <c r="H40" s="268">
        <f t="shared" si="22"/>
        <v>1530202.2300000004</v>
      </c>
      <c r="I40" s="269">
        <f t="shared" si="22"/>
        <v>2602253.599999994</v>
      </c>
      <c r="J40" s="267">
        <f t="shared" si="22"/>
        <v>0</v>
      </c>
      <c r="K40" s="267">
        <f>K24-K39</f>
        <v>0</v>
      </c>
      <c r="L40" s="267">
        <f t="shared" si="22"/>
        <v>-412380</v>
      </c>
      <c r="M40" s="270">
        <f t="shared" si="22"/>
        <v>-412380</v>
      </c>
      <c r="N40" s="270">
        <f t="shared" si="22"/>
        <v>412380</v>
      </c>
      <c r="O40" s="271">
        <f t="shared" si="22"/>
        <v>0</v>
      </c>
      <c r="P40" s="267">
        <f t="shared" si="22"/>
        <v>0</v>
      </c>
      <c r="Q40" s="267">
        <f t="shared" si="22"/>
        <v>0</v>
      </c>
      <c r="R40" s="267">
        <f t="shared" si="22"/>
        <v>-3436136.8900000043</v>
      </c>
      <c r="S40" s="268">
        <f t="shared" si="22"/>
        <v>-3436136.8900000006</v>
      </c>
      <c r="T40" s="268">
        <f t="shared" si="22"/>
        <v>3045005.3200000003</v>
      </c>
      <c r="U40" s="269">
        <f t="shared" si="22"/>
        <v>-391131.5700000003</v>
      </c>
      <c r="V40" s="267">
        <f t="shared" si="22"/>
        <v>0</v>
      </c>
      <c r="W40" s="267">
        <f t="shared" si="22"/>
        <v>0</v>
      </c>
      <c r="X40" s="267">
        <f t="shared" si="22"/>
        <v>-623000</v>
      </c>
      <c r="Y40" s="268">
        <f t="shared" si="22"/>
        <v>-623000</v>
      </c>
      <c r="Z40" s="268">
        <f t="shared" si="22"/>
        <v>623000</v>
      </c>
      <c r="AA40" s="269">
        <f t="shared" si="22"/>
        <v>0</v>
      </c>
      <c r="AB40" s="272" t="e">
        <f t="shared" si="13"/>
        <v>#DIV/0!</v>
      </c>
      <c r="AC40" s="3"/>
      <c r="AD40" s="3"/>
    </row>
    <row r="41" spans="1:30" ht="15.75" thickBot="1" x14ac:dyDescent="0.3">
      <c r="A41" s="3"/>
      <c r="B41" s="273" t="s">
        <v>77</v>
      </c>
      <c r="C41" s="274" t="s">
        <v>78</v>
      </c>
      <c r="D41" s="275"/>
      <c r="E41" s="276"/>
      <c r="F41" s="276"/>
      <c r="G41" s="277"/>
      <c r="H41" s="278"/>
      <c r="I41" s="279">
        <f>I40-D16</f>
        <v>-51697746.400000006</v>
      </c>
      <c r="J41" s="275"/>
      <c r="K41" s="276"/>
      <c r="L41" s="276"/>
      <c r="M41" s="277"/>
      <c r="N41" s="280"/>
      <c r="O41" s="279">
        <f>O40-J16</f>
        <v>-52000000</v>
      </c>
      <c r="P41" s="275"/>
      <c r="Q41" s="276"/>
      <c r="R41" s="276"/>
      <c r="S41" s="277"/>
      <c r="T41" s="280"/>
      <c r="U41" s="279">
        <f>U40-P16</f>
        <v>-26391131.57</v>
      </c>
      <c r="V41" s="275"/>
      <c r="W41" s="276"/>
      <c r="X41" s="276"/>
      <c r="Y41" s="277"/>
      <c r="Z41" s="280"/>
      <c r="AA41" s="279">
        <f>AA40-V16</f>
        <v>-55000000</v>
      </c>
      <c r="AB41" s="190">
        <f t="shared" si="13"/>
        <v>1.0576923076923077</v>
      </c>
      <c r="AC41" s="3"/>
      <c r="AD41" s="3"/>
    </row>
    <row r="42" spans="1:30" ht="8.25" customHeight="1" thickBot="1" x14ac:dyDescent="0.3">
      <c r="A42" s="3"/>
      <c r="B42" s="281"/>
      <c r="C42" s="282"/>
      <c r="D42" s="283"/>
      <c r="E42" s="284"/>
      <c r="F42" s="284"/>
      <c r="G42" s="3"/>
      <c r="H42" s="284"/>
      <c r="I42" s="284"/>
      <c r="J42" s="283"/>
      <c r="K42" s="284"/>
      <c r="L42" s="284"/>
      <c r="M42" s="3"/>
      <c r="N42" s="284"/>
      <c r="O42" s="284"/>
      <c r="P42" s="284"/>
      <c r="Q42" s="284"/>
      <c r="R42" s="284"/>
      <c r="S42" s="284"/>
      <c r="T42" s="284"/>
      <c r="U42" s="284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thickBot="1" x14ac:dyDescent="0.3">
      <c r="A43" s="3"/>
      <c r="B43" s="281"/>
      <c r="C43" s="641" t="s">
        <v>79</v>
      </c>
      <c r="D43" s="123" t="s">
        <v>80</v>
      </c>
      <c r="E43" s="285" t="s">
        <v>81</v>
      </c>
      <c r="F43" s="286" t="s">
        <v>82</v>
      </c>
      <c r="G43" s="284"/>
      <c r="H43" s="284"/>
      <c r="I43" s="287"/>
      <c r="J43" s="123" t="s">
        <v>80</v>
      </c>
      <c r="K43" s="285" t="s">
        <v>81</v>
      </c>
      <c r="L43" s="286" t="s">
        <v>82</v>
      </c>
      <c r="M43" s="284"/>
      <c r="N43" s="284"/>
      <c r="O43" s="284"/>
      <c r="P43" s="123" t="s">
        <v>80</v>
      </c>
      <c r="Q43" s="285" t="s">
        <v>81</v>
      </c>
      <c r="R43" s="286" t="s">
        <v>82</v>
      </c>
      <c r="S43" s="3"/>
      <c r="T43" s="3"/>
      <c r="U43" s="3"/>
      <c r="V43" s="123" t="s">
        <v>80</v>
      </c>
      <c r="W43" s="285" t="s">
        <v>81</v>
      </c>
      <c r="X43" s="286" t="s">
        <v>82</v>
      </c>
      <c r="Y43" s="3"/>
      <c r="Z43" s="3"/>
      <c r="AA43" s="3"/>
      <c r="AB43" s="3"/>
      <c r="AC43" s="3"/>
      <c r="AD43" s="3"/>
    </row>
    <row r="44" spans="1:30" ht="15.75" thickBot="1" x14ac:dyDescent="0.3">
      <c r="A44" s="3"/>
      <c r="B44" s="281"/>
      <c r="C44" s="642"/>
      <c r="D44" s="288"/>
      <c r="E44" s="289"/>
      <c r="F44" s="290">
        <v>0</v>
      </c>
      <c r="G44" s="284"/>
      <c r="H44" s="284"/>
      <c r="I44" s="287"/>
      <c r="J44" s="288"/>
      <c r="K44" s="289"/>
      <c r="L44" s="290">
        <v>0</v>
      </c>
      <c r="M44" s="291"/>
      <c r="N44" s="291"/>
      <c r="O44" s="291"/>
      <c r="P44" s="288"/>
      <c r="Q44" s="289"/>
      <c r="R44" s="290">
        <v>0</v>
      </c>
      <c r="S44" s="3"/>
      <c r="T44" s="3"/>
      <c r="U44" s="3"/>
      <c r="V44" s="288"/>
      <c r="W44" s="289"/>
      <c r="X44" s="290">
        <v>0</v>
      </c>
      <c r="Y44" s="3"/>
      <c r="Z44" s="3"/>
      <c r="AA44" s="3"/>
      <c r="AB44" s="3"/>
      <c r="AC44" s="3"/>
      <c r="AD44" s="3"/>
    </row>
    <row r="45" spans="1:30" ht="8.25" customHeight="1" thickBot="1" x14ac:dyDescent="0.3">
      <c r="A45" s="3"/>
      <c r="B45" s="281"/>
      <c r="C45" s="282"/>
      <c r="D45" s="291"/>
      <c r="E45" s="284"/>
      <c r="F45" s="284"/>
      <c r="G45" s="284"/>
      <c r="H45" s="284"/>
      <c r="I45" s="287"/>
      <c r="J45" s="284"/>
      <c r="K45" s="284"/>
      <c r="L45" s="284"/>
      <c r="M45" s="284"/>
      <c r="N45" s="284"/>
      <c r="O45" s="287"/>
      <c r="P45" s="287"/>
      <c r="Q45" s="287"/>
      <c r="R45" s="287"/>
      <c r="S45" s="287"/>
      <c r="T45" s="287"/>
      <c r="U45" s="287"/>
      <c r="V45" s="3"/>
      <c r="W45" s="3"/>
      <c r="X45" s="3"/>
      <c r="Y45" s="3"/>
      <c r="Z45" s="3"/>
      <c r="AA45" s="3"/>
      <c r="AB45" s="3"/>
      <c r="AC45" s="3"/>
      <c r="AD45" s="3"/>
    </row>
    <row r="46" spans="1:30" ht="37.5" customHeight="1" thickBot="1" x14ac:dyDescent="0.3">
      <c r="A46" s="3"/>
      <c r="B46" s="281"/>
      <c r="C46" s="641" t="s">
        <v>83</v>
      </c>
      <c r="D46" s="131" t="s">
        <v>84</v>
      </c>
      <c r="E46" s="292" t="s">
        <v>85</v>
      </c>
      <c r="F46" s="284"/>
      <c r="G46" s="284"/>
      <c r="H46" s="284"/>
      <c r="I46" s="287"/>
      <c r="J46" s="131" t="s">
        <v>84</v>
      </c>
      <c r="K46" s="292" t="s">
        <v>85</v>
      </c>
      <c r="L46" s="293"/>
      <c r="M46" s="293"/>
      <c r="N46" s="3"/>
      <c r="O46" s="3"/>
      <c r="P46" s="131" t="s">
        <v>84</v>
      </c>
      <c r="Q46" s="292" t="s">
        <v>85</v>
      </c>
      <c r="R46" s="3"/>
      <c r="S46" s="3"/>
      <c r="T46" s="3"/>
      <c r="U46" s="3"/>
      <c r="V46" s="131" t="s">
        <v>84</v>
      </c>
      <c r="W46" s="292" t="s">
        <v>85</v>
      </c>
      <c r="X46" s="3"/>
      <c r="Y46" s="3"/>
      <c r="Z46" s="3"/>
      <c r="AA46" s="3"/>
      <c r="AB46" s="3"/>
      <c r="AC46" s="3"/>
      <c r="AD46" s="3"/>
    </row>
    <row r="47" spans="1:30" ht="15.75" thickBot="1" x14ac:dyDescent="0.3">
      <c r="A47" s="3"/>
      <c r="B47" s="294"/>
      <c r="C47" s="643"/>
      <c r="D47" s="288">
        <v>10000000</v>
      </c>
      <c r="E47" s="295">
        <v>0</v>
      </c>
      <c r="F47" s="284"/>
      <c r="G47" s="284"/>
      <c r="H47" s="284"/>
      <c r="I47" s="287"/>
      <c r="J47" s="288">
        <v>0</v>
      </c>
      <c r="K47" s="295">
        <v>0</v>
      </c>
      <c r="L47" s="296"/>
      <c r="M47" s="296"/>
      <c r="N47" s="3"/>
      <c r="O47" s="3"/>
      <c r="P47" s="288">
        <v>0</v>
      </c>
      <c r="Q47" s="295">
        <v>0</v>
      </c>
      <c r="R47" s="3"/>
      <c r="S47" s="3"/>
      <c r="T47" s="3"/>
      <c r="U47" s="3"/>
      <c r="V47" s="288">
        <v>0</v>
      </c>
      <c r="W47" s="295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3"/>
      <c r="B48" s="294"/>
      <c r="C48" s="282"/>
      <c r="D48" s="284"/>
      <c r="E48" s="284"/>
      <c r="F48" s="284"/>
      <c r="G48" s="284"/>
      <c r="H48" s="284"/>
      <c r="I48" s="287"/>
      <c r="J48" s="284"/>
      <c r="K48" s="284"/>
      <c r="L48" s="284"/>
      <c r="M48" s="284"/>
      <c r="N48" s="284"/>
      <c r="O48" s="287"/>
      <c r="P48" s="287"/>
      <c r="Q48" s="287"/>
      <c r="R48" s="287"/>
      <c r="S48" s="287"/>
      <c r="T48" s="287"/>
      <c r="U48" s="28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294"/>
      <c r="C49" s="297" t="s">
        <v>86</v>
      </c>
      <c r="D49" s="298" t="s">
        <v>87</v>
      </c>
      <c r="E49" s="298" t="s">
        <v>88</v>
      </c>
      <c r="F49" s="298" t="s">
        <v>89</v>
      </c>
      <c r="G49" s="298" t="s">
        <v>90</v>
      </c>
      <c r="H49" s="284"/>
      <c r="I49" s="3"/>
      <c r="J49" s="298" t="s">
        <v>87</v>
      </c>
      <c r="K49" s="298" t="s">
        <v>88</v>
      </c>
      <c r="L49" s="298" t="s">
        <v>89</v>
      </c>
      <c r="M49" s="298" t="s">
        <v>91</v>
      </c>
      <c r="N49" s="3"/>
      <c r="O49" s="3"/>
      <c r="P49" s="298" t="s">
        <v>87</v>
      </c>
      <c r="Q49" s="298" t="s">
        <v>88</v>
      </c>
      <c r="R49" s="298" t="s">
        <v>89</v>
      </c>
      <c r="S49" s="298" t="s">
        <v>91</v>
      </c>
      <c r="T49" s="3"/>
      <c r="U49" s="3"/>
      <c r="V49" s="298" t="s">
        <v>92</v>
      </c>
      <c r="W49" s="298" t="s">
        <v>88</v>
      </c>
      <c r="X49" s="298" t="s">
        <v>89</v>
      </c>
      <c r="Y49" s="298" t="s">
        <v>91</v>
      </c>
      <c r="Z49" s="3"/>
      <c r="AA49" s="3"/>
      <c r="AB49" s="3"/>
      <c r="AC49" s="3"/>
      <c r="AD49" s="3"/>
    </row>
    <row r="50" spans="1:30" x14ac:dyDescent="0.25">
      <c r="A50" s="3"/>
      <c r="B50" s="294"/>
      <c r="C50" s="299" t="s">
        <v>93</v>
      </c>
      <c r="D50" s="301">
        <f>D51+D52+D53+D54</f>
        <v>33466518.369999997</v>
      </c>
      <c r="E50" s="301">
        <f t="shared" ref="E50:F50" si="23">E51+E52+E53+E54</f>
        <v>19818261.449999999</v>
      </c>
      <c r="F50" s="301">
        <f t="shared" si="23"/>
        <v>9635164.870000001</v>
      </c>
      <c r="G50" s="301">
        <f>D50+E50-F50</f>
        <v>43649614.949999988</v>
      </c>
      <c r="H50" s="284"/>
      <c r="I50" s="3"/>
      <c r="J50" s="301"/>
      <c r="K50" s="300"/>
      <c r="L50" s="300"/>
      <c r="M50" s="301">
        <f>J50+K50-L50</f>
        <v>0</v>
      </c>
      <c r="N50" s="3"/>
      <c r="O50" s="3"/>
      <c r="P50" s="300"/>
      <c r="Q50" s="300"/>
      <c r="R50" s="300"/>
      <c r="S50" s="301">
        <f>P50+Q50-R50</f>
        <v>0</v>
      </c>
      <c r="T50" s="3"/>
      <c r="U50" s="3"/>
      <c r="V50" s="300"/>
      <c r="W50" s="300"/>
      <c r="X50" s="300"/>
      <c r="Y50" s="301">
        <f>V50+W50-X50</f>
        <v>0</v>
      </c>
      <c r="Z50" s="3"/>
      <c r="AA50" s="3"/>
      <c r="AB50" s="3"/>
      <c r="AC50" s="3"/>
      <c r="AD50" s="3"/>
    </row>
    <row r="51" spans="1:30" x14ac:dyDescent="0.25">
      <c r="A51" s="3"/>
      <c r="B51" s="294"/>
      <c r="C51" s="299" t="s">
        <v>94</v>
      </c>
      <c r="D51" s="300">
        <v>5344800.7300000004</v>
      </c>
      <c r="E51" s="300">
        <v>1618316.81</v>
      </c>
      <c r="F51" s="300"/>
      <c r="G51" s="301">
        <f t="shared" ref="G51:G54" si="24">D51+E51-F51</f>
        <v>6963117.540000001</v>
      </c>
      <c r="H51" s="284"/>
      <c r="I51" s="3"/>
      <c r="J51" s="301">
        <v>7000000</v>
      </c>
      <c r="K51" s="300">
        <v>350000</v>
      </c>
      <c r="L51" s="300">
        <v>2000000</v>
      </c>
      <c r="M51" s="301">
        <f t="shared" ref="M51:M54" si="25">J51+K51-L51</f>
        <v>5350000</v>
      </c>
      <c r="N51" s="3"/>
      <c r="O51" s="3"/>
      <c r="P51" s="301">
        <v>6963117.5</v>
      </c>
      <c r="Q51" s="300">
        <v>2703512.26</v>
      </c>
      <c r="R51" s="300"/>
      <c r="S51" s="301">
        <f t="shared" ref="S51:S54" si="26">P51+Q51-R51</f>
        <v>9666629.7599999998</v>
      </c>
      <c r="T51" s="3"/>
      <c r="U51" s="3"/>
      <c r="V51" s="301">
        <f t="shared" ref="V51:V54" si="27">S51+T51-U51</f>
        <v>9666629.7599999998</v>
      </c>
      <c r="W51" s="300"/>
      <c r="X51" s="300">
        <v>1500000</v>
      </c>
      <c r="Y51" s="301">
        <f t="shared" ref="Y51:Y54" si="28">V51+W51-X51</f>
        <v>8166629.7599999998</v>
      </c>
      <c r="Z51" s="3"/>
      <c r="AA51" s="3"/>
      <c r="AB51" s="3"/>
      <c r="AC51" s="3"/>
      <c r="AD51" s="3"/>
    </row>
    <row r="52" spans="1:30" x14ac:dyDescent="0.25">
      <c r="A52" s="3"/>
      <c r="B52" s="294"/>
      <c r="C52" s="299" t="s">
        <v>95</v>
      </c>
      <c r="D52" s="300">
        <v>26769970.489999998</v>
      </c>
      <c r="E52" s="300">
        <v>17857737.34</v>
      </c>
      <c r="F52" s="300">
        <v>9162010.5600000005</v>
      </c>
      <c r="G52" s="301">
        <f t="shared" si="24"/>
        <v>35465697.269999996</v>
      </c>
      <c r="H52" s="284"/>
      <c r="I52" s="3"/>
      <c r="J52" s="463">
        <v>35000000</v>
      </c>
      <c r="K52" s="300">
        <v>20200000</v>
      </c>
      <c r="L52" s="300">
        <v>30000000</v>
      </c>
      <c r="M52" s="301">
        <f t="shared" si="25"/>
        <v>25200000</v>
      </c>
      <c r="N52" s="3"/>
      <c r="O52" s="3"/>
      <c r="P52" s="463">
        <v>35465697.270000003</v>
      </c>
      <c r="Q52" s="300">
        <v>10465000</v>
      </c>
      <c r="R52" s="300">
        <v>3872000</v>
      </c>
      <c r="S52" s="301">
        <f t="shared" si="26"/>
        <v>42058697.270000003</v>
      </c>
      <c r="T52" s="3"/>
      <c r="U52" s="3"/>
      <c r="V52" s="301">
        <f t="shared" si="27"/>
        <v>42058697.270000003</v>
      </c>
      <c r="W52" s="300">
        <v>11042000</v>
      </c>
      <c r="X52" s="300">
        <v>2000000</v>
      </c>
      <c r="Y52" s="301">
        <f t="shared" si="28"/>
        <v>51100697.270000003</v>
      </c>
      <c r="Z52" s="3"/>
      <c r="AA52" s="3"/>
      <c r="AB52" s="3"/>
      <c r="AC52" s="3"/>
      <c r="AD52" s="3"/>
    </row>
    <row r="53" spans="1:30" x14ac:dyDescent="0.25">
      <c r="A53" s="3"/>
      <c r="B53" s="294"/>
      <c r="C53" s="299" t="s">
        <v>96</v>
      </c>
      <c r="D53" s="300">
        <v>690000</v>
      </c>
      <c r="E53" s="300"/>
      <c r="F53" s="300"/>
      <c r="G53" s="301">
        <f t="shared" si="24"/>
        <v>690000</v>
      </c>
      <c r="H53" s="284"/>
      <c r="I53" s="3"/>
      <c r="J53" s="301">
        <v>690000</v>
      </c>
      <c r="K53" s="300">
        <v>0</v>
      </c>
      <c r="L53" s="300">
        <v>0</v>
      </c>
      <c r="M53" s="301">
        <f t="shared" si="25"/>
        <v>690000</v>
      </c>
      <c r="N53" s="3"/>
      <c r="O53" s="3"/>
      <c r="P53" s="301">
        <v>690000</v>
      </c>
      <c r="Q53" s="300">
        <v>0</v>
      </c>
      <c r="R53" s="300">
        <v>0</v>
      </c>
      <c r="S53" s="301">
        <f t="shared" si="26"/>
        <v>690000</v>
      </c>
      <c r="T53" s="3"/>
      <c r="U53" s="3"/>
      <c r="V53" s="301">
        <f t="shared" si="27"/>
        <v>690000</v>
      </c>
      <c r="W53" s="300">
        <v>0</v>
      </c>
      <c r="X53" s="300">
        <v>0</v>
      </c>
      <c r="Y53" s="301">
        <f t="shared" si="28"/>
        <v>690000</v>
      </c>
      <c r="Z53" s="3"/>
      <c r="AA53" s="3"/>
      <c r="AB53" s="3"/>
      <c r="AC53" s="3"/>
      <c r="AD53" s="3"/>
    </row>
    <row r="54" spans="1:30" x14ac:dyDescent="0.25">
      <c r="A54" s="3"/>
      <c r="B54" s="294"/>
      <c r="C54" s="302" t="s">
        <v>97</v>
      </c>
      <c r="D54" s="300">
        <v>661747.15</v>
      </c>
      <c r="E54" s="300">
        <v>342207.3</v>
      </c>
      <c r="F54" s="300">
        <v>473154.31</v>
      </c>
      <c r="G54" s="301">
        <f t="shared" si="24"/>
        <v>530800.1399999999</v>
      </c>
      <c r="H54" s="284"/>
      <c r="I54" s="3"/>
      <c r="J54" s="301">
        <v>600000</v>
      </c>
      <c r="K54" s="300">
        <v>396400</v>
      </c>
      <c r="L54" s="300">
        <v>420000</v>
      </c>
      <c r="M54" s="301">
        <f t="shared" si="25"/>
        <v>576400</v>
      </c>
      <c r="N54" s="3"/>
      <c r="O54" s="3"/>
      <c r="P54" s="301">
        <v>530800.1</v>
      </c>
      <c r="Q54" s="300">
        <v>396400</v>
      </c>
      <c r="R54" s="300">
        <v>420000</v>
      </c>
      <c r="S54" s="301">
        <f t="shared" si="26"/>
        <v>507200.1</v>
      </c>
      <c r="T54" s="3"/>
      <c r="U54" s="3"/>
      <c r="V54" s="301">
        <f t="shared" si="27"/>
        <v>507200.1</v>
      </c>
      <c r="W54" s="300">
        <v>396400</v>
      </c>
      <c r="X54" s="300">
        <v>420000</v>
      </c>
      <c r="Y54" s="301">
        <f t="shared" si="28"/>
        <v>483600.1</v>
      </c>
      <c r="Z54" s="3"/>
      <c r="AA54" s="3"/>
      <c r="AB54" s="3"/>
      <c r="AC54" s="3"/>
      <c r="AD54" s="3"/>
    </row>
    <row r="55" spans="1:30" ht="10.5" customHeight="1" x14ac:dyDescent="0.25">
      <c r="A55" s="3"/>
      <c r="B55" s="294"/>
      <c r="C55" s="282"/>
      <c r="D55" s="284"/>
      <c r="E55" s="284"/>
      <c r="F55" s="284"/>
      <c r="G55" s="284"/>
      <c r="H55" s="28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3"/>
      <c r="B56" s="294"/>
      <c r="C56" s="297" t="s">
        <v>98</v>
      </c>
      <c r="D56" s="298" t="s">
        <v>99</v>
      </c>
      <c r="E56" s="298" t="s">
        <v>100</v>
      </c>
      <c r="F56" s="284"/>
      <c r="G56" s="284"/>
      <c r="H56" s="284"/>
      <c r="I56" s="287"/>
      <c r="J56" s="298" t="s">
        <v>101</v>
      </c>
      <c r="K56" s="284"/>
      <c r="L56" s="284"/>
      <c r="M56" s="284"/>
      <c r="N56" s="284"/>
      <c r="O56" s="287"/>
      <c r="P56" s="298" t="s">
        <v>102</v>
      </c>
      <c r="Q56" s="287"/>
      <c r="R56" s="287"/>
      <c r="S56" s="287"/>
      <c r="T56" s="287"/>
      <c r="U56" s="287"/>
      <c r="V56" s="298" t="s">
        <v>101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3"/>
      <c r="B57" s="294"/>
      <c r="C57" s="299"/>
      <c r="D57" s="303">
        <v>79</v>
      </c>
      <c r="E57" s="303">
        <v>80</v>
      </c>
      <c r="F57" s="284"/>
      <c r="G57" s="284"/>
      <c r="H57" s="284"/>
      <c r="I57" s="287"/>
      <c r="J57" s="303">
        <v>93</v>
      </c>
      <c r="K57" s="284"/>
      <c r="L57" s="284"/>
      <c r="M57" s="284"/>
      <c r="N57" s="284"/>
      <c r="O57" s="287"/>
      <c r="P57" s="303">
        <v>85.8</v>
      </c>
      <c r="Q57" s="287"/>
      <c r="R57" s="287"/>
      <c r="S57" s="287"/>
      <c r="T57" s="287"/>
      <c r="U57" s="287"/>
      <c r="V57" s="303">
        <v>90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3"/>
      <c r="B58" s="294"/>
      <c r="C58" s="282"/>
      <c r="D58" s="284"/>
      <c r="E58" s="284"/>
      <c r="F58" s="284"/>
      <c r="G58" s="284"/>
      <c r="H58" s="284"/>
      <c r="I58" s="287"/>
      <c r="J58" s="284"/>
      <c r="K58" s="284"/>
      <c r="L58" s="284"/>
      <c r="M58" s="284"/>
      <c r="N58" s="284"/>
      <c r="O58" s="287"/>
      <c r="P58" s="287"/>
      <c r="Q58" s="287"/>
      <c r="R58" s="287"/>
      <c r="S58" s="287"/>
      <c r="T58" s="287"/>
      <c r="U58" s="287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3"/>
      <c r="B59" s="304" t="s">
        <v>103</v>
      </c>
      <c r="C59" s="305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306"/>
      <c r="W59" s="306"/>
      <c r="X59" s="306"/>
      <c r="Y59" s="306"/>
      <c r="Z59" s="306"/>
      <c r="AA59" s="306"/>
      <c r="AB59" s="307"/>
      <c r="AC59" s="3"/>
      <c r="AD59" s="3"/>
    </row>
    <row r="60" spans="1:30" x14ac:dyDescent="0.25">
      <c r="A60" s="3"/>
      <c r="B60" s="308"/>
      <c r="M60"/>
      <c r="AB60" s="309"/>
      <c r="AC60" s="3"/>
      <c r="AD60" s="3"/>
    </row>
    <row r="61" spans="1:30" x14ac:dyDescent="0.25">
      <c r="A61" s="3"/>
      <c r="B61" s="634" t="s">
        <v>210</v>
      </c>
      <c r="C61" s="635"/>
      <c r="D61" s="635"/>
      <c r="E61" s="635"/>
      <c r="F61" s="635"/>
      <c r="G61" s="635"/>
      <c r="H61" s="635"/>
      <c r="I61" s="635"/>
      <c r="J61" s="635"/>
      <c r="K61" s="635"/>
      <c r="L61" s="635"/>
      <c r="M61" s="635"/>
      <c r="N61" s="635"/>
      <c r="O61" s="635"/>
      <c r="P61" s="635"/>
      <c r="Q61" s="635"/>
      <c r="R61" s="635"/>
      <c r="S61" s="635"/>
      <c r="T61" s="635"/>
      <c r="U61" s="635"/>
      <c r="AB61" s="309"/>
      <c r="AC61" s="3"/>
      <c r="AD61" s="3"/>
    </row>
    <row r="62" spans="1:30" x14ac:dyDescent="0.25">
      <c r="A62" s="3"/>
      <c r="B62" s="634" t="s">
        <v>211</v>
      </c>
      <c r="C62" s="635"/>
      <c r="D62" s="635"/>
      <c r="E62" s="635"/>
      <c r="F62" s="635"/>
      <c r="G62" s="635"/>
      <c r="H62" s="635"/>
      <c r="I62" s="635"/>
      <c r="J62" s="635"/>
      <c r="K62" s="635"/>
      <c r="L62" s="635"/>
      <c r="M62" s="635"/>
      <c r="N62" s="635"/>
      <c r="O62" s="635"/>
      <c r="P62" s="635"/>
      <c r="Q62" s="635"/>
      <c r="R62" s="635"/>
      <c r="S62" s="635"/>
      <c r="T62" s="635"/>
      <c r="U62" s="635"/>
      <c r="AB62" s="309"/>
      <c r="AC62" s="3"/>
      <c r="AD62" s="3"/>
    </row>
    <row r="63" spans="1:30" x14ac:dyDescent="0.25">
      <c r="A63" s="3"/>
      <c r="B63" s="634" t="s">
        <v>212</v>
      </c>
      <c r="C63" s="635"/>
      <c r="D63" s="635"/>
      <c r="E63" s="635"/>
      <c r="F63" s="635"/>
      <c r="G63" s="635"/>
      <c r="H63" s="635"/>
      <c r="I63" s="635"/>
      <c r="J63" s="635"/>
      <c r="K63" s="635"/>
      <c r="L63" s="635"/>
      <c r="M63" s="635"/>
      <c r="N63" s="635"/>
      <c r="O63" s="635"/>
      <c r="P63" s="635"/>
      <c r="Q63" s="635"/>
      <c r="R63" s="635"/>
      <c r="S63" s="635"/>
      <c r="T63" s="635"/>
      <c r="U63" s="635"/>
      <c r="AB63" s="309"/>
      <c r="AC63" s="3"/>
      <c r="AD63" s="3"/>
    </row>
    <row r="64" spans="1:30" x14ac:dyDescent="0.25">
      <c r="A64" s="3"/>
      <c r="B64" s="310" t="s">
        <v>213</v>
      </c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AB64" s="309"/>
      <c r="AC64" s="3"/>
      <c r="AD64" s="3"/>
    </row>
    <row r="65" spans="1:30" x14ac:dyDescent="0.25">
      <c r="A65" s="3"/>
      <c r="B65" s="310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AB65" s="309"/>
      <c r="AC65" s="3"/>
      <c r="AD65" s="3"/>
    </row>
    <row r="66" spans="1:30" x14ac:dyDescent="0.25">
      <c r="A66" s="3"/>
      <c r="B66" s="310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AB66" s="309"/>
      <c r="AC66" s="3"/>
      <c r="AD66" s="3"/>
    </row>
    <row r="67" spans="1:30" x14ac:dyDescent="0.25">
      <c r="A67" s="3"/>
      <c r="B67" s="310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AB67" s="309"/>
      <c r="AC67" s="3"/>
      <c r="AD67" s="3"/>
    </row>
    <row r="68" spans="1:30" x14ac:dyDescent="0.25">
      <c r="A68" s="3"/>
      <c r="B68" s="310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AB68" s="309"/>
      <c r="AC68" s="3"/>
      <c r="AD68" s="3"/>
    </row>
    <row r="69" spans="1:30" x14ac:dyDescent="0.25">
      <c r="A69" s="3"/>
      <c r="B69" s="464" t="s">
        <v>18</v>
      </c>
      <c r="M69"/>
      <c r="AB69" s="309"/>
      <c r="AC69" s="3"/>
      <c r="AD69" s="3"/>
    </row>
    <row r="70" spans="1:30" x14ac:dyDescent="0.25">
      <c r="A70" s="3"/>
      <c r="B70" s="718" t="s">
        <v>214</v>
      </c>
      <c r="C70" s="691"/>
      <c r="D70" s="691"/>
      <c r="E70" s="691"/>
      <c r="F70" s="691"/>
      <c r="G70" s="691"/>
      <c r="H70" s="691"/>
      <c r="I70" s="691"/>
      <c r="J70" s="691"/>
      <c r="K70" s="691"/>
      <c r="L70" s="691"/>
      <c r="M70" s="691"/>
      <c r="N70" s="691"/>
      <c r="O70" s="691"/>
      <c r="P70" s="691"/>
      <c r="Q70" s="691"/>
      <c r="R70" s="691"/>
      <c r="S70" s="691"/>
      <c r="T70" s="691"/>
      <c r="U70" s="691"/>
      <c r="AB70" s="309"/>
      <c r="AC70" s="3"/>
      <c r="AD70" s="3"/>
    </row>
    <row r="71" spans="1:30" x14ac:dyDescent="0.25">
      <c r="A71" s="3"/>
      <c r="B71" s="718" t="s">
        <v>215</v>
      </c>
      <c r="C71" s="691"/>
      <c r="D71" s="691"/>
      <c r="E71" s="691"/>
      <c r="F71" s="691"/>
      <c r="G71" s="691"/>
      <c r="H71" s="691"/>
      <c r="I71" s="691"/>
      <c r="J71" s="691"/>
      <c r="K71" s="691"/>
      <c r="L71" s="691"/>
      <c r="M71" s="691"/>
      <c r="N71" s="691"/>
      <c r="O71" s="691"/>
      <c r="P71" s="691"/>
      <c r="Q71" s="691"/>
      <c r="R71" s="691"/>
      <c r="S71" s="691"/>
      <c r="T71" s="691"/>
      <c r="U71" s="691"/>
      <c r="AB71" s="309"/>
      <c r="AC71" s="3"/>
      <c r="AD71" s="3"/>
    </row>
    <row r="72" spans="1:30" x14ac:dyDescent="0.25">
      <c r="A72" s="3"/>
      <c r="B72" s="718" t="s">
        <v>216</v>
      </c>
      <c r="C72" s="691"/>
      <c r="D72" s="691"/>
      <c r="E72" s="691"/>
      <c r="F72" s="691"/>
      <c r="G72" s="691"/>
      <c r="H72" s="691"/>
      <c r="I72" s="691"/>
      <c r="J72" s="691"/>
      <c r="K72" s="691"/>
      <c r="L72" s="691"/>
      <c r="M72" s="691"/>
      <c r="N72" s="691"/>
      <c r="O72" s="691"/>
      <c r="P72" s="691"/>
      <c r="Q72" s="691"/>
      <c r="R72" s="691"/>
      <c r="S72" s="691"/>
      <c r="T72" s="691"/>
      <c r="U72" s="691"/>
      <c r="AB72" s="309"/>
      <c r="AC72" s="3"/>
      <c r="AD72" s="3"/>
    </row>
    <row r="73" spans="1:30" x14ac:dyDescent="0.25">
      <c r="A73" s="3"/>
      <c r="B73" s="413" t="s">
        <v>217</v>
      </c>
      <c r="C73" s="456"/>
      <c r="D73" s="456"/>
      <c r="E73" s="456"/>
      <c r="F73" s="456"/>
      <c r="G73" s="456"/>
      <c r="H73" s="456"/>
      <c r="I73" s="456"/>
      <c r="J73" s="456"/>
      <c r="K73" s="456"/>
      <c r="L73" s="456"/>
      <c r="M73" s="456"/>
      <c r="N73" s="456"/>
      <c r="O73" s="456"/>
      <c r="P73" s="456"/>
      <c r="Q73" s="456"/>
      <c r="R73" s="456"/>
      <c r="S73" s="456"/>
      <c r="T73" s="456"/>
      <c r="U73" s="456"/>
      <c r="AB73" s="309"/>
      <c r="AC73" s="3"/>
      <c r="AD73" s="3"/>
    </row>
    <row r="74" spans="1:30" x14ac:dyDescent="0.25">
      <c r="A74" s="3"/>
      <c r="B74" s="413" t="s">
        <v>218</v>
      </c>
      <c r="C74" s="456"/>
      <c r="D74" s="456"/>
      <c r="E74" s="456"/>
      <c r="F74" s="456"/>
      <c r="G74" s="456"/>
      <c r="H74" s="456"/>
      <c r="I74" s="456"/>
      <c r="J74" s="456"/>
      <c r="K74" s="456"/>
      <c r="L74" s="456"/>
      <c r="M74" s="456"/>
      <c r="N74" s="456"/>
      <c r="O74" s="456"/>
      <c r="P74" s="456"/>
      <c r="Q74" s="456"/>
      <c r="R74" s="456"/>
      <c r="S74" s="456"/>
      <c r="T74" s="456"/>
      <c r="U74" s="456"/>
      <c r="AB74" s="309"/>
      <c r="AC74" s="3"/>
      <c r="AD74" s="3"/>
    </row>
    <row r="75" spans="1:30" x14ac:dyDescent="0.25">
      <c r="A75" s="3"/>
      <c r="B75" s="310"/>
      <c r="C75" s="174"/>
      <c r="D75" s="312"/>
      <c r="E75" s="312"/>
      <c r="F75" s="174"/>
      <c r="G75" s="174"/>
      <c r="H75" s="174"/>
      <c r="I75" s="174"/>
      <c r="J75" s="174"/>
      <c r="K75" s="174"/>
      <c r="L75" s="456"/>
      <c r="M75" s="456"/>
      <c r="N75" s="456"/>
      <c r="O75" s="456"/>
      <c r="P75" s="456"/>
      <c r="Q75" s="456"/>
      <c r="R75" s="456"/>
      <c r="S75" s="456"/>
      <c r="T75" s="456"/>
      <c r="U75" s="456"/>
      <c r="AB75" s="309"/>
      <c r="AC75" s="3"/>
      <c r="AD75" s="3"/>
    </row>
    <row r="76" spans="1:30" x14ac:dyDescent="0.25">
      <c r="A76" s="3"/>
      <c r="B76" s="310"/>
      <c r="C76" s="174" t="s">
        <v>219</v>
      </c>
      <c r="D76" s="312"/>
      <c r="E76" s="312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AB76" s="309"/>
      <c r="AC76" s="3"/>
      <c r="AD76" s="3"/>
    </row>
    <row r="77" spans="1:30" x14ac:dyDescent="0.25">
      <c r="A77" s="3"/>
      <c r="B77" s="310" t="s">
        <v>220</v>
      </c>
      <c r="C77" s="174"/>
      <c r="D77" s="312"/>
      <c r="E77" s="312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AB77" s="309"/>
      <c r="AC77" s="3"/>
      <c r="AD77" s="3"/>
    </row>
    <row r="78" spans="1:30" x14ac:dyDescent="0.25">
      <c r="A78" s="3"/>
      <c r="B78" s="310"/>
      <c r="C78" s="174"/>
      <c r="D78" s="312"/>
      <c r="E78" s="312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AB78" s="309"/>
      <c r="AC78" s="3"/>
      <c r="AD78" s="3"/>
    </row>
    <row r="79" spans="1:30" x14ac:dyDescent="0.25">
      <c r="A79" s="3"/>
      <c r="B79" s="310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AB79" s="309"/>
      <c r="AC79" s="3"/>
      <c r="AD79" s="3"/>
    </row>
    <row r="80" spans="1:30" x14ac:dyDescent="0.25">
      <c r="A80" s="3"/>
      <c r="B80" s="310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AB80" s="309"/>
      <c r="AC80" s="3"/>
      <c r="AD80" s="3"/>
    </row>
    <row r="81" spans="1:30" x14ac:dyDescent="0.25">
      <c r="A81" s="3"/>
      <c r="B81" s="310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AB81" s="309"/>
      <c r="AC81" s="3"/>
      <c r="AD81" s="3"/>
    </row>
    <row r="82" spans="1:30" x14ac:dyDescent="0.25">
      <c r="A82" s="3"/>
      <c r="B82" s="634"/>
      <c r="C82" s="635"/>
      <c r="D82" s="635"/>
      <c r="E82" s="635"/>
      <c r="F82" s="635"/>
      <c r="G82" s="635"/>
      <c r="H82" s="635"/>
      <c r="I82" s="635"/>
      <c r="J82" s="635"/>
      <c r="K82" s="635"/>
      <c r="L82" s="635"/>
      <c r="M82" s="635"/>
      <c r="N82" s="635"/>
      <c r="O82" s="635"/>
      <c r="P82" s="635"/>
      <c r="Q82" s="635"/>
      <c r="R82" s="635"/>
      <c r="S82" s="635"/>
      <c r="T82" s="635"/>
      <c r="U82" s="635"/>
      <c r="AB82" s="309"/>
      <c r="AC82" s="3"/>
      <c r="AD82" s="3"/>
    </row>
    <row r="83" spans="1:30" x14ac:dyDescent="0.25">
      <c r="A83" s="3"/>
      <c r="B83" s="311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AB83" s="309"/>
      <c r="AC83" s="3"/>
      <c r="AD83" s="3"/>
    </row>
    <row r="84" spans="1:30" x14ac:dyDescent="0.25">
      <c r="A84" s="3"/>
      <c r="B84" s="311"/>
      <c r="C84" s="312"/>
      <c r="D84" s="312"/>
      <c r="E84" s="312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AB84" s="309"/>
      <c r="AC84" s="3"/>
      <c r="AD84" s="3"/>
    </row>
    <row r="85" spans="1:30" x14ac:dyDescent="0.25">
      <c r="A85" s="3"/>
      <c r="B85" s="311"/>
      <c r="C85" s="313"/>
      <c r="D85" s="312"/>
      <c r="E85" s="312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AB85" s="309"/>
      <c r="AC85" s="3"/>
      <c r="AD85" s="3"/>
    </row>
    <row r="86" spans="1:30" x14ac:dyDescent="0.25">
      <c r="A86" s="3"/>
      <c r="B86" s="311"/>
      <c r="C86" s="313"/>
      <c r="D86" s="312"/>
      <c r="E86" s="312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AB86" s="309"/>
      <c r="AC86" s="3"/>
      <c r="AD86" s="3"/>
    </row>
    <row r="87" spans="1:30" x14ac:dyDescent="0.25">
      <c r="A87" s="3"/>
      <c r="B87" s="314"/>
      <c r="C87" s="315"/>
      <c r="D87" s="316"/>
      <c r="E87" s="316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8"/>
      <c r="W87" s="318"/>
      <c r="X87" s="318"/>
      <c r="Y87" s="318"/>
      <c r="Z87" s="318"/>
      <c r="AA87" s="318"/>
      <c r="AB87" s="319"/>
      <c r="AC87" s="3"/>
      <c r="AD87" s="3"/>
    </row>
    <row r="88" spans="1:30" x14ac:dyDescent="0.25">
      <c r="A88" s="3"/>
      <c r="B88" s="320"/>
      <c r="C88" s="321"/>
      <c r="D88" s="320"/>
      <c r="E88" s="320"/>
      <c r="F88" s="322"/>
      <c r="G88" s="322"/>
      <c r="H88" s="322"/>
      <c r="I88" s="322"/>
      <c r="J88" s="322"/>
      <c r="K88" s="322"/>
      <c r="L88" s="322"/>
      <c r="M88" s="322"/>
      <c r="N88" s="322"/>
      <c r="O88" s="322"/>
      <c r="P88" s="322"/>
      <c r="Q88" s="322"/>
      <c r="R88" s="322"/>
      <c r="S88" s="322"/>
      <c r="T88" s="322"/>
      <c r="U88" s="322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3"/>
      <c r="B89" s="320"/>
      <c r="C89" s="321"/>
      <c r="D89" s="320"/>
      <c r="E89" s="320"/>
      <c r="F89" s="322"/>
      <c r="G89" s="322"/>
      <c r="H89" s="322"/>
      <c r="I89" s="322"/>
      <c r="J89" s="322"/>
      <c r="K89" s="322"/>
      <c r="L89" s="322"/>
      <c r="M89" s="322"/>
      <c r="N89" s="322"/>
      <c r="O89" s="322"/>
      <c r="P89" s="322"/>
      <c r="Q89" s="322"/>
      <c r="R89" s="322"/>
      <c r="S89" s="322"/>
      <c r="T89" s="322"/>
      <c r="U89" s="322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3"/>
      <c r="B90" s="323"/>
      <c r="C90" s="323"/>
      <c r="D90" s="323"/>
      <c r="E90" s="323"/>
      <c r="F90" s="323"/>
      <c r="G90" s="323"/>
      <c r="H90" s="323"/>
      <c r="I90" s="323"/>
      <c r="J90" s="323"/>
      <c r="K90" s="323"/>
      <c r="L90" s="323"/>
      <c r="M90" s="323"/>
      <c r="N90" s="323"/>
      <c r="O90" s="323"/>
      <c r="P90" s="323"/>
      <c r="Q90" s="323"/>
      <c r="R90" s="323"/>
      <c r="S90" s="323"/>
      <c r="T90" s="323"/>
      <c r="U90" s="323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3"/>
      <c r="B91" s="323" t="s">
        <v>104</v>
      </c>
      <c r="C91" s="324">
        <v>45938</v>
      </c>
      <c r="D91" s="323" t="s">
        <v>105</v>
      </c>
      <c r="E91" s="635" t="s">
        <v>221</v>
      </c>
      <c r="F91" s="635"/>
      <c r="G91" s="635"/>
      <c r="H91" s="323"/>
      <c r="I91" s="323" t="s">
        <v>107</v>
      </c>
      <c r="J91" s="636" t="s">
        <v>222</v>
      </c>
      <c r="K91" s="636"/>
      <c r="L91" s="636"/>
      <c r="M91" s="636"/>
      <c r="N91" s="323"/>
      <c r="O91" s="323"/>
      <c r="P91" s="323"/>
      <c r="Q91" s="323"/>
      <c r="R91" s="323"/>
      <c r="S91" s="323"/>
      <c r="T91" s="323"/>
      <c r="U91" s="323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3"/>
      <c r="B92" s="323"/>
      <c r="C92" s="323"/>
      <c r="D92" s="323"/>
      <c r="E92" s="323"/>
      <c r="F92" s="323"/>
      <c r="G92" s="323"/>
      <c r="H92" s="323"/>
      <c r="I92" s="323"/>
      <c r="J92" s="323"/>
      <c r="K92" s="323"/>
      <c r="L92" s="323"/>
      <c r="M92" s="323"/>
      <c r="N92" s="323"/>
      <c r="O92" s="323"/>
      <c r="P92" s="323"/>
      <c r="Q92" s="323"/>
      <c r="R92" s="323"/>
      <c r="S92" s="323"/>
      <c r="T92" s="323"/>
      <c r="U92" s="323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3"/>
      <c r="B93" s="323"/>
      <c r="C93" s="323"/>
      <c r="D93" s="323" t="s">
        <v>109</v>
      </c>
      <c r="E93" s="325"/>
      <c r="F93" s="325"/>
      <c r="G93" s="325"/>
      <c r="H93" s="323"/>
      <c r="I93" s="323" t="s">
        <v>109</v>
      </c>
      <c r="J93" s="326"/>
      <c r="K93" s="326"/>
      <c r="L93" s="326"/>
      <c r="M93" s="326"/>
      <c r="N93" s="323"/>
      <c r="O93" s="323"/>
      <c r="P93" s="323"/>
      <c r="Q93" s="323"/>
      <c r="R93" s="323"/>
      <c r="S93" s="323"/>
      <c r="T93" s="323"/>
      <c r="U93" s="323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3"/>
      <c r="B94" s="323"/>
      <c r="C94" s="323"/>
      <c r="D94" s="323"/>
      <c r="E94" s="325"/>
      <c r="F94" s="325"/>
      <c r="G94" s="325"/>
      <c r="H94" s="323"/>
      <c r="I94" s="323"/>
      <c r="J94" s="326"/>
      <c r="K94" s="326"/>
      <c r="L94" s="326"/>
      <c r="M94" s="326"/>
      <c r="N94" s="323"/>
      <c r="O94" s="323"/>
      <c r="P94" s="323"/>
      <c r="Q94" s="323"/>
      <c r="R94" s="323"/>
      <c r="S94" s="323"/>
      <c r="T94" s="323"/>
      <c r="U94" s="323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3"/>
      <c r="B95" s="323"/>
      <c r="C95" s="323"/>
      <c r="D95" s="323"/>
      <c r="E95" s="323"/>
      <c r="F95" s="323"/>
      <c r="G95" s="323"/>
      <c r="H95" s="323"/>
      <c r="I95" s="323"/>
      <c r="J95" s="323"/>
      <c r="K95" s="323"/>
      <c r="L95" s="323"/>
      <c r="M95" s="323"/>
      <c r="N95" s="323"/>
      <c r="O95" s="323"/>
      <c r="P95" s="323"/>
      <c r="Q95" s="323"/>
      <c r="R95" s="323"/>
      <c r="S95" s="323"/>
      <c r="T95" s="323"/>
      <c r="U95" s="323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3"/>
      <c r="B96" s="323"/>
      <c r="C96" s="323"/>
      <c r="D96" s="323"/>
      <c r="E96" s="323"/>
      <c r="F96" s="323"/>
      <c r="G96" s="323"/>
      <c r="H96" s="323"/>
      <c r="I96" s="323"/>
      <c r="J96" s="323"/>
      <c r="K96" s="323"/>
      <c r="L96" s="323"/>
      <c r="M96" s="323"/>
      <c r="N96" s="323"/>
      <c r="O96" s="323"/>
      <c r="P96" s="323"/>
      <c r="Q96" s="323"/>
      <c r="R96" s="323"/>
      <c r="S96" s="323"/>
      <c r="T96" s="323"/>
      <c r="U96" s="323"/>
      <c r="V96" s="3"/>
      <c r="W96" s="3"/>
      <c r="X96" s="3"/>
      <c r="Y96" s="3"/>
      <c r="Z96" s="3"/>
      <c r="AA96" s="3"/>
      <c r="AB96" s="3"/>
      <c r="AC96" s="3"/>
      <c r="AD96" s="3"/>
    </row>
    <row r="113" ht="15" hidden="1" customHeight="1" x14ac:dyDescent="0.25"/>
    <row r="127" ht="15" hidden="1" customHeight="1" x14ac:dyDescent="0.25"/>
    <row r="128" ht="15" hidden="1" customHeight="1" x14ac:dyDescent="0.25"/>
  </sheetData>
  <mergeCells count="68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5:AB27"/>
    <mergeCell ref="J26:L26"/>
    <mergeCell ref="M26:M27"/>
    <mergeCell ref="N26:N27"/>
    <mergeCell ref="O26:O27"/>
    <mergeCell ref="AA13:AA14"/>
    <mergeCell ref="D25:I25"/>
    <mergeCell ref="J25:O25"/>
    <mergeCell ref="P25:U25"/>
    <mergeCell ref="V25:AA25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61:U61"/>
    <mergeCell ref="P26:R26"/>
    <mergeCell ref="S26:S27"/>
    <mergeCell ref="T26:T27"/>
    <mergeCell ref="U26:U27"/>
    <mergeCell ref="B26:B27"/>
    <mergeCell ref="C26:C27"/>
    <mergeCell ref="D26:F26"/>
    <mergeCell ref="G26:G27"/>
    <mergeCell ref="H26:H27"/>
    <mergeCell ref="I26:I27"/>
    <mergeCell ref="Z26:Z27"/>
    <mergeCell ref="AA26:AA27"/>
    <mergeCell ref="C43:C44"/>
    <mergeCell ref="C46:C47"/>
    <mergeCell ref="D59:U59"/>
    <mergeCell ref="V26:X26"/>
    <mergeCell ref="Y26:Y27"/>
    <mergeCell ref="E91:G91"/>
    <mergeCell ref="J91:M91"/>
    <mergeCell ref="B62:U62"/>
    <mergeCell ref="B63:U63"/>
    <mergeCell ref="B70:U70"/>
    <mergeCell ref="B71:U71"/>
    <mergeCell ref="B72:U72"/>
    <mergeCell ref="B82:U82"/>
  </mergeCells>
  <conditionalFormatting sqref="AB15:AB25">
    <cfRule type="cellIs" dxfId="25" priority="3" operator="equal">
      <formula>0</formula>
    </cfRule>
    <cfRule type="containsErrors" dxfId="24" priority="4">
      <formula>ISERROR(AB15)</formula>
    </cfRule>
  </conditionalFormatting>
  <conditionalFormatting sqref="AB28:AB41">
    <cfRule type="cellIs" dxfId="23" priority="1" operator="equal">
      <formula>0</formula>
    </cfRule>
    <cfRule type="containsErrors" dxfId="22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rgb="FFFF0000"/>
    <pageSetUpPr fitToPage="1"/>
  </sheetPr>
  <dimension ref="A1:AD135"/>
  <sheetViews>
    <sheetView showGridLines="0" zoomScale="121" zoomScaleNormal="121" zoomScaleSheetLayoutView="80" workbookViewId="0">
      <selection activeCell="Y64" sqref="Y6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327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17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7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7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1</v>
      </c>
      <c r="C4" s="3"/>
      <c r="D4" s="690" t="s">
        <v>223</v>
      </c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7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3</v>
      </c>
      <c r="C6" s="3"/>
      <c r="D6" s="174">
        <v>61345636</v>
      </c>
      <c r="E6" s="3"/>
      <c r="F6" s="3"/>
      <c r="G6" s="3"/>
      <c r="H6" s="3"/>
      <c r="I6" s="3"/>
      <c r="J6" s="3"/>
      <c r="K6" s="3"/>
      <c r="L6" s="3"/>
      <c r="M6" s="17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175"/>
      <c r="E7" s="3"/>
      <c r="F7" s="3"/>
      <c r="G7" s="3"/>
      <c r="H7" s="3"/>
      <c r="I7" s="3"/>
      <c r="J7" s="3"/>
      <c r="K7" s="3"/>
      <c r="L7" s="3"/>
      <c r="M7" s="17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5</v>
      </c>
      <c r="C8" s="3"/>
      <c r="D8" s="691" t="s">
        <v>224</v>
      </c>
      <c r="E8" s="691"/>
      <c r="F8" s="691"/>
      <c r="G8" s="691"/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691"/>
      <c r="T8" s="691"/>
      <c r="U8" s="691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7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692" t="s">
        <v>7</v>
      </c>
      <c r="C10" s="651" t="s">
        <v>8</v>
      </c>
      <c r="D10" s="678" t="s">
        <v>9</v>
      </c>
      <c r="E10" s="679"/>
      <c r="F10" s="679"/>
      <c r="G10" s="679"/>
      <c r="H10" s="679"/>
      <c r="I10" s="680"/>
      <c r="J10" s="678" t="s">
        <v>166</v>
      </c>
      <c r="K10" s="679"/>
      <c r="L10" s="679"/>
      <c r="M10" s="679"/>
      <c r="N10" s="679"/>
      <c r="O10" s="680"/>
      <c r="P10" s="678" t="s">
        <v>11</v>
      </c>
      <c r="Q10" s="679"/>
      <c r="R10" s="679"/>
      <c r="S10" s="679"/>
      <c r="T10" s="679"/>
      <c r="U10" s="680"/>
      <c r="V10" s="678" t="s">
        <v>12</v>
      </c>
      <c r="W10" s="679"/>
      <c r="X10" s="679"/>
      <c r="Y10" s="679"/>
      <c r="Z10" s="679"/>
      <c r="AA10" s="680"/>
      <c r="AB10" s="681" t="s">
        <v>225</v>
      </c>
      <c r="AC10" s="3"/>
      <c r="AD10" s="3"/>
    </row>
    <row r="11" spans="1:30" ht="30.75" customHeight="1" thickBot="1" x14ac:dyDescent="0.3">
      <c r="A11" s="3"/>
      <c r="B11" s="693"/>
      <c r="C11" s="652"/>
      <c r="D11" s="684" t="s">
        <v>14</v>
      </c>
      <c r="E11" s="685"/>
      <c r="F11" s="685"/>
      <c r="G11" s="686"/>
      <c r="H11" s="176" t="s">
        <v>15</v>
      </c>
      <c r="I11" s="176" t="s">
        <v>16</v>
      </c>
      <c r="J11" s="684" t="s">
        <v>14</v>
      </c>
      <c r="K11" s="685"/>
      <c r="L11" s="685"/>
      <c r="M11" s="686"/>
      <c r="N11" s="176" t="s">
        <v>15</v>
      </c>
      <c r="O11" s="176" t="s">
        <v>16</v>
      </c>
      <c r="P11" s="684" t="s">
        <v>14</v>
      </c>
      <c r="Q11" s="685"/>
      <c r="R11" s="685"/>
      <c r="S11" s="686"/>
      <c r="T11" s="176" t="s">
        <v>15</v>
      </c>
      <c r="U11" s="176" t="s">
        <v>16</v>
      </c>
      <c r="V11" s="684" t="s">
        <v>14</v>
      </c>
      <c r="W11" s="685"/>
      <c r="X11" s="685"/>
      <c r="Y11" s="686"/>
      <c r="Z11" s="176" t="s">
        <v>15</v>
      </c>
      <c r="AA11" s="176" t="s">
        <v>16</v>
      </c>
      <c r="AB11" s="682"/>
      <c r="AC11" s="3"/>
      <c r="AD11" s="3"/>
    </row>
    <row r="12" spans="1:30" ht="15.75" customHeight="1" thickBot="1" x14ac:dyDescent="0.3">
      <c r="A12" s="3"/>
      <c r="B12" s="693"/>
      <c r="C12" s="695"/>
      <c r="D12" s="687" t="s">
        <v>17</v>
      </c>
      <c r="E12" s="688"/>
      <c r="F12" s="688"/>
      <c r="G12" s="688"/>
      <c r="H12" s="688"/>
      <c r="I12" s="689"/>
      <c r="J12" s="687" t="s">
        <v>17</v>
      </c>
      <c r="K12" s="688"/>
      <c r="L12" s="688"/>
      <c r="M12" s="688"/>
      <c r="N12" s="688"/>
      <c r="O12" s="689"/>
      <c r="P12" s="687" t="s">
        <v>17</v>
      </c>
      <c r="Q12" s="688"/>
      <c r="R12" s="688"/>
      <c r="S12" s="688"/>
      <c r="T12" s="688"/>
      <c r="U12" s="689"/>
      <c r="V12" s="687" t="s">
        <v>17</v>
      </c>
      <c r="W12" s="688"/>
      <c r="X12" s="688"/>
      <c r="Y12" s="688"/>
      <c r="Z12" s="688"/>
      <c r="AA12" s="689"/>
      <c r="AB12" s="682"/>
      <c r="AC12" s="3"/>
      <c r="AD12" s="3"/>
    </row>
    <row r="13" spans="1:30" ht="15.75" customHeight="1" thickBot="1" x14ac:dyDescent="0.3">
      <c r="A13" s="3"/>
      <c r="B13" s="694"/>
      <c r="C13" s="696"/>
      <c r="D13" s="676" t="s">
        <v>18</v>
      </c>
      <c r="E13" s="677"/>
      <c r="F13" s="677"/>
      <c r="G13" s="647" t="s">
        <v>19</v>
      </c>
      <c r="H13" s="674" t="s">
        <v>20</v>
      </c>
      <c r="I13" s="653" t="s">
        <v>17</v>
      </c>
      <c r="J13" s="676" t="s">
        <v>18</v>
      </c>
      <c r="K13" s="677"/>
      <c r="L13" s="677"/>
      <c r="M13" s="647" t="s">
        <v>19</v>
      </c>
      <c r="N13" s="674" t="s">
        <v>20</v>
      </c>
      <c r="O13" s="653" t="s">
        <v>17</v>
      </c>
      <c r="P13" s="676" t="s">
        <v>18</v>
      </c>
      <c r="Q13" s="677"/>
      <c r="R13" s="677"/>
      <c r="S13" s="647" t="s">
        <v>19</v>
      </c>
      <c r="T13" s="674" t="s">
        <v>20</v>
      </c>
      <c r="U13" s="653" t="s">
        <v>17</v>
      </c>
      <c r="V13" s="676" t="s">
        <v>18</v>
      </c>
      <c r="W13" s="677"/>
      <c r="X13" s="677"/>
      <c r="Y13" s="647" t="s">
        <v>19</v>
      </c>
      <c r="Z13" s="674" t="s">
        <v>20</v>
      </c>
      <c r="AA13" s="653" t="s">
        <v>17</v>
      </c>
      <c r="AB13" s="682"/>
      <c r="AC13" s="3"/>
      <c r="AD13" s="3"/>
    </row>
    <row r="14" spans="1:30" ht="15.75" thickBot="1" x14ac:dyDescent="0.3">
      <c r="A14" s="3"/>
      <c r="B14" s="177"/>
      <c r="C14" s="178"/>
      <c r="D14" s="179" t="s">
        <v>21</v>
      </c>
      <c r="E14" s="180" t="s">
        <v>22</v>
      </c>
      <c r="F14" s="180" t="s">
        <v>23</v>
      </c>
      <c r="G14" s="648"/>
      <c r="H14" s="675"/>
      <c r="I14" s="654"/>
      <c r="J14" s="179" t="s">
        <v>21</v>
      </c>
      <c r="K14" s="180" t="s">
        <v>22</v>
      </c>
      <c r="L14" s="180" t="s">
        <v>23</v>
      </c>
      <c r="M14" s="648"/>
      <c r="N14" s="675"/>
      <c r="O14" s="654"/>
      <c r="P14" s="179" t="s">
        <v>21</v>
      </c>
      <c r="Q14" s="180" t="s">
        <v>22</v>
      </c>
      <c r="R14" s="180" t="s">
        <v>23</v>
      </c>
      <c r="S14" s="648"/>
      <c r="T14" s="675"/>
      <c r="U14" s="654"/>
      <c r="V14" s="179" t="s">
        <v>21</v>
      </c>
      <c r="W14" s="180" t="s">
        <v>22</v>
      </c>
      <c r="X14" s="180" t="s">
        <v>23</v>
      </c>
      <c r="Y14" s="648"/>
      <c r="Z14" s="675"/>
      <c r="AA14" s="654"/>
      <c r="AB14" s="683"/>
      <c r="AC14" s="3"/>
      <c r="AD14" s="3"/>
    </row>
    <row r="15" spans="1:30" x14ac:dyDescent="0.25">
      <c r="A15" s="3"/>
      <c r="B15" s="181" t="s">
        <v>24</v>
      </c>
      <c r="C15" s="182" t="s">
        <v>25</v>
      </c>
      <c r="D15" s="183"/>
      <c r="E15" s="184"/>
      <c r="F15" s="185">
        <v>2300.183</v>
      </c>
      <c r="G15" s="186">
        <f>SUM(D15:F15)</f>
        <v>2300.183</v>
      </c>
      <c r="H15" s="187">
        <v>75.8</v>
      </c>
      <c r="I15" s="188">
        <f>G15+H15</f>
        <v>2375.9830000000002</v>
      </c>
      <c r="J15" s="385"/>
      <c r="K15" s="386"/>
      <c r="L15" s="387">
        <v>2500</v>
      </c>
      <c r="M15" s="388">
        <f t="shared" ref="M15:M24" si="0">SUM(J15:L15)</f>
        <v>2500</v>
      </c>
      <c r="N15" s="389">
        <v>100</v>
      </c>
      <c r="O15" s="189">
        <f>M15+N15</f>
        <v>2600</v>
      </c>
      <c r="P15" s="183"/>
      <c r="Q15" s="184"/>
      <c r="R15" s="185">
        <v>1399.98</v>
      </c>
      <c r="S15" s="186">
        <v>1400</v>
      </c>
      <c r="T15" s="187">
        <v>43.4</v>
      </c>
      <c r="U15" s="188">
        <f>S15+T15</f>
        <v>1443.4</v>
      </c>
      <c r="V15" s="183"/>
      <c r="W15" s="184"/>
      <c r="X15" s="185">
        <v>2500</v>
      </c>
      <c r="Y15" s="186">
        <v>2500</v>
      </c>
      <c r="Z15" s="187">
        <v>100</v>
      </c>
      <c r="AA15" s="188">
        <f>Y15+Z15</f>
        <v>2600</v>
      </c>
      <c r="AB15" s="190">
        <f>(AA15/O15)</f>
        <v>1</v>
      </c>
      <c r="AC15" s="3"/>
      <c r="AD15" s="3"/>
    </row>
    <row r="16" spans="1:30" x14ac:dyDescent="0.25">
      <c r="A16" s="3"/>
      <c r="B16" s="191" t="s">
        <v>26</v>
      </c>
      <c r="C16" s="192" t="s">
        <v>123</v>
      </c>
      <c r="D16" s="193">
        <v>2093</v>
      </c>
      <c r="E16" s="194"/>
      <c r="F16" s="194"/>
      <c r="G16" s="195">
        <f t="shared" ref="G16:G24" si="1">SUM(D16:F16)</f>
        <v>2093</v>
      </c>
      <c r="H16" s="196"/>
      <c r="I16" s="188">
        <f t="shared" ref="I16:I24" si="2">G16+H16</f>
        <v>2093</v>
      </c>
      <c r="J16" s="390">
        <v>2000</v>
      </c>
      <c r="K16" s="391"/>
      <c r="L16" s="391"/>
      <c r="M16" s="392">
        <f t="shared" si="0"/>
        <v>2000</v>
      </c>
      <c r="N16" s="393"/>
      <c r="O16" s="189">
        <f t="shared" ref="O16:O21" si="3">M16+N16</f>
        <v>2000</v>
      </c>
      <c r="P16" s="193">
        <v>1000.2</v>
      </c>
      <c r="Q16" s="194"/>
      <c r="R16" s="194"/>
      <c r="S16" s="195">
        <f t="shared" ref="S16:S24" si="4">SUM(P16:R16)</f>
        <v>1000.2</v>
      </c>
      <c r="T16" s="196"/>
      <c r="U16" s="188">
        <f t="shared" ref="U16:U21" si="5">S16+T16</f>
        <v>1000.2</v>
      </c>
      <c r="V16" s="193">
        <v>2050</v>
      </c>
      <c r="W16" s="194"/>
      <c r="X16" s="194"/>
      <c r="Y16" s="195">
        <f t="shared" ref="Y16:Y24" si="6">SUM(V16:X16)</f>
        <v>2050</v>
      </c>
      <c r="Z16" s="196"/>
      <c r="AA16" s="188">
        <f t="shared" ref="AA16:AA21" si="7">Y16+Z16</f>
        <v>2050</v>
      </c>
      <c r="AB16" s="190">
        <f t="shared" ref="AB16:AB25" si="8">(AA16/O16)</f>
        <v>1.0249999999999999</v>
      </c>
      <c r="AC16" s="3"/>
      <c r="AD16" s="3"/>
    </row>
    <row r="17" spans="1:30" x14ac:dyDescent="0.25">
      <c r="A17" s="3"/>
      <c r="B17" s="191" t="s">
        <v>28</v>
      </c>
      <c r="C17" s="197" t="s">
        <v>124</v>
      </c>
      <c r="D17" s="29">
        <v>212</v>
      </c>
      <c r="E17" s="198"/>
      <c r="F17" s="198"/>
      <c r="G17" s="195">
        <f t="shared" si="1"/>
        <v>212</v>
      </c>
      <c r="H17" s="199"/>
      <c r="I17" s="188">
        <f t="shared" si="2"/>
        <v>212</v>
      </c>
      <c r="J17" s="342">
        <v>137</v>
      </c>
      <c r="K17" s="394"/>
      <c r="L17" s="394"/>
      <c r="M17" s="392">
        <f t="shared" si="0"/>
        <v>137</v>
      </c>
      <c r="N17" s="395"/>
      <c r="O17" s="189">
        <f t="shared" si="3"/>
        <v>137</v>
      </c>
      <c r="P17" s="29">
        <v>67.400000000000006</v>
      </c>
      <c r="Q17" s="198"/>
      <c r="R17" s="198"/>
      <c r="S17" s="195">
        <f t="shared" si="4"/>
        <v>67.400000000000006</v>
      </c>
      <c r="T17" s="199"/>
      <c r="U17" s="188">
        <f t="shared" si="5"/>
        <v>67.400000000000006</v>
      </c>
      <c r="V17" s="29"/>
      <c r="W17" s="198"/>
      <c r="X17" s="198"/>
      <c r="Y17" s="195">
        <f t="shared" si="6"/>
        <v>0</v>
      </c>
      <c r="Z17" s="199"/>
      <c r="AA17" s="188">
        <f t="shared" si="7"/>
        <v>0</v>
      </c>
      <c r="AB17" s="190">
        <f t="shared" si="8"/>
        <v>0</v>
      </c>
      <c r="AC17" s="3"/>
      <c r="AD17" s="3"/>
    </row>
    <row r="18" spans="1:30" x14ac:dyDescent="0.25">
      <c r="A18" s="3"/>
      <c r="B18" s="191" t="s">
        <v>125</v>
      </c>
      <c r="C18" s="465" t="s">
        <v>126</v>
      </c>
      <c r="D18" s="29">
        <v>0</v>
      </c>
      <c r="E18" s="198"/>
      <c r="F18" s="198"/>
      <c r="G18" s="195">
        <f t="shared" si="1"/>
        <v>0</v>
      </c>
      <c r="H18" s="196"/>
      <c r="I18" s="188">
        <f t="shared" si="2"/>
        <v>0</v>
      </c>
      <c r="J18" s="342">
        <v>0</v>
      </c>
      <c r="K18" s="394"/>
      <c r="L18" s="394"/>
      <c r="M18" s="392">
        <f t="shared" si="0"/>
        <v>0</v>
      </c>
      <c r="N18" s="393"/>
      <c r="O18" s="189">
        <f t="shared" si="3"/>
        <v>0</v>
      </c>
      <c r="P18" s="29">
        <v>0</v>
      </c>
      <c r="Q18" s="198"/>
      <c r="R18" s="198"/>
      <c r="S18" s="195">
        <f t="shared" si="4"/>
        <v>0</v>
      </c>
      <c r="T18" s="196"/>
      <c r="U18" s="188">
        <f t="shared" si="5"/>
        <v>0</v>
      </c>
      <c r="V18" s="29">
        <v>2610.8000000000002</v>
      </c>
      <c r="W18" s="198"/>
      <c r="X18" s="198"/>
      <c r="Y18" s="195">
        <f t="shared" si="6"/>
        <v>2610.8000000000002</v>
      </c>
      <c r="Z18" s="196"/>
      <c r="AA18" s="188">
        <f t="shared" si="7"/>
        <v>2610.8000000000002</v>
      </c>
      <c r="AB18" s="190"/>
      <c r="AC18" s="3"/>
      <c r="AD18" s="3"/>
    </row>
    <row r="19" spans="1:30" x14ac:dyDescent="0.25">
      <c r="A19" s="3"/>
      <c r="B19" s="191" t="s">
        <v>30</v>
      </c>
      <c r="C19" s="200" t="s">
        <v>31</v>
      </c>
      <c r="D19" s="201"/>
      <c r="E19" s="37">
        <f>23239.712+786.105</f>
        <v>24025.816999999999</v>
      </c>
      <c r="F19" s="198"/>
      <c r="G19" s="195">
        <f t="shared" si="1"/>
        <v>24025.816999999999</v>
      </c>
      <c r="H19" s="187"/>
      <c r="I19" s="188">
        <f t="shared" si="2"/>
        <v>24025.816999999999</v>
      </c>
      <c r="J19" s="396"/>
      <c r="K19" s="397">
        <v>25000</v>
      </c>
      <c r="L19" s="394"/>
      <c r="M19" s="392">
        <f t="shared" si="0"/>
        <v>25000</v>
      </c>
      <c r="N19" s="389"/>
      <c r="O19" s="189">
        <f t="shared" si="3"/>
        <v>25000</v>
      </c>
      <c r="P19" s="201"/>
      <c r="Q19" s="37">
        <f>12382+44.483</f>
        <v>12426.483</v>
      </c>
      <c r="R19" s="198"/>
      <c r="S19" s="195">
        <f t="shared" si="4"/>
        <v>12426.483</v>
      </c>
      <c r="T19" s="187"/>
      <c r="U19" s="188">
        <f t="shared" si="5"/>
        <v>12426.483</v>
      </c>
      <c r="V19" s="201"/>
      <c r="W19" s="37">
        <v>25550</v>
      </c>
      <c r="X19" s="198"/>
      <c r="Y19" s="195">
        <f t="shared" si="6"/>
        <v>25550</v>
      </c>
      <c r="Z19" s="187"/>
      <c r="AA19" s="188">
        <f t="shared" si="7"/>
        <v>25550</v>
      </c>
      <c r="AB19" s="190">
        <f t="shared" si="8"/>
        <v>1.022</v>
      </c>
      <c r="AC19" s="3"/>
      <c r="AD19" s="3"/>
    </row>
    <row r="20" spans="1:30" x14ac:dyDescent="0.25">
      <c r="A20" s="3"/>
      <c r="B20" s="191" t="s">
        <v>32</v>
      </c>
      <c r="C20" s="202" t="s">
        <v>33</v>
      </c>
      <c r="D20" s="203"/>
      <c r="E20" s="198"/>
      <c r="F20" s="37">
        <v>267.04199999999997</v>
      </c>
      <c r="G20" s="195">
        <f t="shared" si="1"/>
        <v>267.04199999999997</v>
      </c>
      <c r="H20" s="187"/>
      <c r="I20" s="188">
        <f t="shared" si="2"/>
        <v>267.04199999999997</v>
      </c>
      <c r="J20" s="398"/>
      <c r="K20" s="394"/>
      <c r="L20" s="397">
        <v>254</v>
      </c>
      <c r="M20" s="392">
        <f t="shared" si="0"/>
        <v>254</v>
      </c>
      <c r="N20" s="389"/>
      <c r="O20" s="189">
        <f t="shared" si="3"/>
        <v>254</v>
      </c>
      <c r="P20" s="203"/>
      <c r="Q20" s="198"/>
      <c r="R20" s="37">
        <v>133.5</v>
      </c>
      <c r="S20" s="195">
        <f t="shared" si="4"/>
        <v>133.5</v>
      </c>
      <c r="T20" s="187"/>
      <c r="U20" s="188">
        <f t="shared" si="5"/>
        <v>133.5</v>
      </c>
      <c r="V20" s="203"/>
      <c r="W20" s="198"/>
      <c r="X20" s="37">
        <v>240.29</v>
      </c>
      <c r="Y20" s="195">
        <f t="shared" si="6"/>
        <v>240.29</v>
      </c>
      <c r="Z20" s="187"/>
      <c r="AA20" s="188">
        <f t="shared" si="7"/>
        <v>240.29</v>
      </c>
      <c r="AB20" s="190">
        <f t="shared" si="8"/>
        <v>0.94602362204724411</v>
      </c>
      <c r="AC20" s="3"/>
      <c r="AD20" s="3"/>
    </row>
    <row r="21" spans="1:30" x14ac:dyDescent="0.25">
      <c r="A21" s="3"/>
      <c r="B21" s="191" t="s">
        <v>34</v>
      </c>
      <c r="C21" s="204" t="s">
        <v>35</v>
      </c>
      <c r="D21" s="201"/>
      <c r="E21" s="194"/>
      <c r="F21" s="205"/>
      <c r="G21" s="195"/>
      <c r="H21" s="187"/>
      <c r="I21" s="188">
        <f t="shared" si="2"/>
        <v>0</v>
      </c>
      <c r="J21" s="396"/>
      <c r="K21" s="391"/>
      <c r="L21" s="399">
        <v>100</v>
      </c>
      <c r="M21" s="392">
        <f t="shared" si="0"/>
        <v>100</v>
      </c>
      <c r="N21" s="389"/>
      <c r="O21" s="189">
        <f t="shared" si="3"/>
        <v>100</v>
      </c>
      <c r="P21" s="201"/>
      <c r="Q21" s="194"/>
      <c r="R21" s="205">
        <v>3</v>
      </c>
      <c r="S21" s="195">
        <f t="shared" si="4"/>
        <v>3</v>
      </c>
      <c r="T21" s="187"/>
      <c r="U21" s="188">
        <f t="shared" si="5"/>
        <v>3</v>
      </c>
      <c r="V21" s="201"/>
      <c r="W21" s="194"/>
      <c r="X21" s="205">
        <v>100</v>
      </c>
      <c r="Y21" s="195">
        <f t="shared" si="6"/>
        <v>100</v>
      </c>
      <c r="Z21" s="187"/>
      <c r="AA21" s="188">
        <f t="shared" si="7"/>
        <v>100</v>
      </c>
      <c r="AB21" s="190">
        <f t="shared" si="8"/>
        <v>1</v>
      </c>
      <c r="AC21" s="3"/>
      <c r="AD21" s="3"/>
    </row>
    <row r="22" spans="1:30" x14ac:dyDescent="0.25">
      <c r="A22" s="3"/>
      <c r="B22" s="191" t="s">
        <v>36</v>
      </c>
      <c r="C22" s="206" t="s">
        <v>37</v>
      </c>
      <c r="D22" s="201"/>
      <c r="E22" s="194"/>
      <c r="F22" s="205">
        <v>291.39999999999998</v>
      </c>
      <c r="G22" s="195">
        <f t="shared" si="1"/>
        <v>291.39999999999998</v>
      </c>
      <c r="H22" s="207">
        <v>66.900000000000006</v>
      </c>
      <c r="I22" s="188">
        <f>G22+H22</f>
        <v>358.29999999999995</v>
      </c>
      <c r="J22" s="396"/>
      <c r="K22" s="391"/>
      <c r="L22" s="399">
        <v>150</v>
      </c>
      <c r="M22" s="392">
        <f t="shared" si="0"/>
        <v>150</v>
      </c>
      <c r="N22" s="400">
        <v>80</v>
      </c>
      <c r="O22" s="189">
        <f>M22+N22</f>
        <v>230</v>
      </c>
      <c r="P22" s="201"/>
      <c r="Q22" s="194"/>
      <c r="R22" s="205">
        <v>75.48</v>
      </c>
      <c r="S22" s="195">
        <f t="shared" si="4"/>
        <v>75.48</v>
      </c>
      <c r="T22" s="207">
        <v>40.200000000000003</v>
      </c>
      <c r="U22" s="188">
        <f>S22+T22</f>
        <v>115.68</v>
      </c>
      <c r="V22" s="201"/>
      <c r="W22" s="194"/>
      <c r="X22" s="205">
        <v>150</v>
      </c>
      <c r="Y22" s="195">
        <f t="shared" si="6"/>
        <v>150</v>
      </c>
      <c r="Z22" s="207">
        <v>80</v>
      </c>
      <c r="AA22" s="188">
        <f>Y22+Z22</f>
        <v>230</v>
      </c>
      <c r="AB22" s="190">
        <f t="shared" si="8"/>
        <v>1</v>
      </c>
      <c r="AC22" s="3"/>
      <c r="AD22" s="3"/>
    </row>
    <row r="23" spans="1:30" x14ac:dyDescent="0.25">
      <c r="A23" s="3"/>
      <c r="B23" s="191" t="s">
        <v>38</v>
      </c>
      <c r="C23" s="206" t="s">
        <v>39</v>
      </c>
      <c r="D23" s="201"/>
      <c r="E23" s="194"/>
      <c r="F23" s="205"/>
      <c r="G23" s="195">
        <f t="shared" si="1"/>
        <v>0</v>
      </c>
      <c r="H23" s="207">
        <v>66.900000000000006</v>
      </c>
      <c r="I23" s="188">
        <f t="shared" si="2"/>
        <v>66.900000000000006</v>
      </c>
      <c r="J23" s="396"/>
      <c r="K23" s="391"/>
      <c r="L23" s="399"/>
      <c r="M23" s="392">
        <f t="shared" si="0"/>
        <v>0</v>
      </c>
      <c r="N23" s="400">
        <v>80</v>
      </c>
      <c r="O23" s="189">
        <f t="shared" ref="O23:O24" si="9">M23+N23</f>
        <v>80</v>
      </c>
      <c r="P23" s="201"/>
      <c r="Q23" s="194"/>
      <c r="R23" s="205"/>
      <c r="S23" s="195">
        <f t="shared" si="4"/>
        <v>0</v>
      </c>
      <c r="T23" s="207">
        <v>40.200000000000003</v>
      </c>
      <c r="U23" s="188">
        <f t="shared" ref="U23:U24" si="10">S23+T23</f>
        <v>40.200000000000003</v>
      </c>
      <c r="V23" s="201"/>
      <c r="W23" s="194"/>
      <c r="X23" s="205"/>
      <c r="Y23" s="195">
        <f t="shared" si="6"/>
        <v>0</v>
      </c>
      <c r="Z23" s="207">
        <v>80</v>
      </c>
      <c r="AA23" s="188">
        <f t="shared" ref="AA23:AA24" si="11">Y23+Z23</f>
        <v>80</v>
      </c>
      <c r="AB23" s="190">
        <f t="shared" si="8"/>
        <v>1</v>
      </c>
      <c r="AC23" s="3"/>
      <c r="AD23" s="3"/>
    </row>
    <row r="24" spans="1:30" ht="15.75" thickBot="1" x14ac:dyDescent="0.3">
      <c r="A24" s="3"/>
      <c r="B24" s="208" t="s">
        <v>40</v>
      </c>
      <c r="C24" s="209" t="s">
        <v>41</v>
      </c>
      <c r="D24" s="210"/>
      <c r="E24" s="211"/>
      <c r="F24" s="212"/>
      <c r="G24" s="213">
        <f t="shared" si="1"/>
        <v>0</v>
      </c>
      <c r="H24" s="214"/>
      <c r="I24" s="215">
        <f t="shared" si="2"/>
        <v>0</v>
      </c>
      <c r="J24" s="401"/>
      <c r="K24" s="402"/>
      <c r="L24" s="403"/>
      <c r="M24" s="404">
        <f t="shared" si="0"/>
        <v>0</v>
      </c>
      <c r="N24" s="405"/>
      <c r="O24" s="216">
        <f t="shared" si="9"/>
        <v>0</v>
      </c>
      <c r="P24" s="210"/>
      <c r="Q24" s="211"/>
      <c r="R24" s="212"/>
      <c r="S24" s="213">
        <f t="shared" si="4"/>
        <v>0</v>
      </c>
      <c r="T24" s="214"/>
      <c r="U24" s="215">
        <f t="shared" si="10"/>
        <v>0</v>
      </c>
      <c r="V24" s="210"/>
      <c r="W24" s="211"/>
      <c r="X24" s="212"/>
      <c r="Y24" s="213">
        <f t="shared" si="6"/>
        <v>0</v>
      </c>
      <c r="Z24" s="214"/>
      <c r="AA24" s="215">
        <f t="shared" si="11"/>
        <v>0</v>
      </c>
      <c r="AB24" s="217" t="e">
        <f t="shared" si="8"/>
        <v>#DIV/0!</v>
      </c>
      <c r="AC24" s="3"/>
      <c r="AD24" s="3"/>
    </row>
    <row r="25" spans="1:30" ht="15.75" thickBot="1" x14ac:dyDescent="0.3">
      <c r="A25" s="3"/>
      <c r="B25" s="218" t="s">
        <v>42</v>
      </c>
      <c r="C25" s="219" t="s">
        <v>43</v>
      </c>
      <c r="D25" s="220">
        <f>SUM(D15:D22)</f>
        <v>2305</v>
      </c>
      <c r="E25" s="221">
        <f>SUM(E15:E22)</f>
        <v>24025.816999999999</v>
      </c>
      <c r="F25" s="221">
        <f>SUM(F15:F22)</f>
        <v>2858.625</v>
      </c>
      <c r="G25" s="222">
        <f>SUM(D25:F25)</f>
        <v>29189.441999999999</v>
      </c>
      <c r="H25" s="223">
        <f>SUM(H15:H22)</f>
        <v>142.69999999999999</v>
      </c>
      <c r="I25" s="223">
        <f>SUM(I15:I22)</f>
        <v>29332.142</v>
      </c>
      <c r="J25" s="224">
        <f>SUM(J15:J22)</f>
        <v>2137</v>
      </c>
      <c r="K25" s="225">
        <f>SUM(K15:K22)</f>
        <v>25000</v>
      </c>
      <c r="L25" s="225">
        <f>SUM(L15:L22)</f>
        <v>3004</v>
      </c>
      <c r="M25" s="226">
        <f>SUM(J25:L25)</f>
        <v>30141</v>
      </c>
      <c r="N25" s="227">
        <f>SUM(N15:N22)</f>
        <v>180</v>
      </c>
      <c r="O25" s="227">
        <f>SUM(O15:O22)</f>
        <v>30321</v>
      </c>
      <c r="P25" s="220">
        <f>SUM(P15:P22)</f>
        <v>1067.6000000000001</v>
      </c>
      <c r="Q25" s="221">
        <f>SUM(Q15:Q22)</f>
        <v>12426.483</v>
      </c>
      <c r="R25" s="221">
        <f>SUM(R15:R22)</f>
        <v>1611.96</v>
      </c>
      <c r="S25" s="222">
        <f>SUM(P25:R25)</f>
        <v>15106.043000000001</v>
      </c>
      <c r="T25" s="223">
        <f>SUM(T15:T22)</f>
        <v>83.6</v>
      </c>
      <c r="U25" s="223">
        <f>SUM(U15:U22)</f>
        <v>15189.663</v>
      </c>
      <c r="V25" s="220">
        <f>SUM(V15:V22)</f>
        <v>4660.8</v>
      </c>
      <c r="W25" s="221">
        <f>SUM(W15:W22)</f>
        <v>25550</v>
      </c>
      <c r="X25" s="221">
        <f>SUM(X15:X22)</f>
        <v>2990.29</v>
      </c>
      <c r="Y25" s="222">
        <f>SUM(V25:X25)</f>
        <v>33201.089999999997</v>
      </c>
      <c r="Z25" s="223">
        <f>SUM(Z15:Z22)</f>
        <v>180</v>
      </c>
      <c r="AA25" s="223">
        <f>SUM(AA15:AA22)</f>
        <v>33381.090000000004</v>
      </c>
      <c r="AB25" s="228">
        <f t="shared" si="8"/>
        <v>1.1009231225883052</v>
      </c>
      <c r="AC25" s="3"/>
      <c r="AD25" s="3"/>
    </row>
    <row r="26" spans="1:30" ht="15.75" customHeight="1" thickBot="1" x14ac:dyDescent="0.3">
      <c r="A26" s="3"/>
      <c r="B26" s="229"/>
      <c r="C26" s="230"/>
      <c r="D26" s="655" t="s">
        <v>44</v>
      </c>
      <c r="E26" s="656"/>
      <c r="F26" s="656"/>
      <c r="G26" s="657"/>
      <c r="H26" s="657"/>
      <c r="I26" s="658"/>
      <c r="J26" s="659" t="s">
        <v>44</v>
      </c>
      <c r="K26" s="660"/>
      <c r="L26" s="660"/>
      <c r="M26" s="661"/>
      <c r="N26" s="661"/>
      <c r="O26" s="662"/>
      <c r="P26" s="655" t="s">
        <v>44</v>
      </c>
      <c r="Q26" s="656"/>
      <c r="R26" s="656"/>
      <c r="S26" s="657"/>
      <c r="T26" s="657"/>
      <c r="U26" s="658"/>
      <c r="V26" s="655" t="s">
        <v>44</v>
      </c>
      <c r="W26" s="656"/>
      <c r="X26" s="656"/>
      <c r="Y26" s="657"/>
      <c r="Z26" s="657"/>
      <c r="AA26" s="658"/>
      <c r="AB26" s="663" t="s">
        <v>226</v>
      </c>
      <c r="AC26" s="3"/>
      <c r="AD26" s="3"/>
    </row>
    <row r="27" spans="1:30" ht="15.75" thickBot="1" x14ac:dyDescent="0.3">
      <c r="A27" s="3"/>
      <c r="B27" s="649" t="s">
        <v>7</v>
      </c>
      <c r="C27" s="651" t="s">
        <v>8</v>
      </c>
      <c r="D27" s="645" t="s">
        <v>45</v>
      </c>
      <c r="E27" s="646"/>
      <c r="F27" s="646"/>
      <c r="G27" s="647" t="s">
        <v>46</v>
      </c>
      <c r="H27" s="637" t="s">
        <v>47</v>
      </c>
      <c r="I27" s="639" t="s">
        <v>44</v>
      </c>
      <c r="J27" s="666" t="s">
        <v>45</v>
      </c>
      <c r="K27" s="667"/>
      <c r="L27" s="667"/>
      <c r="M27" s="668" t="s">
        <v>46</v>
      </c>
      <c r="N27" s="670" t="s">
        <v>47</v>
      </c>
      <c r="O27" s="672" t="s">
        <v>44</v>
      </c>
      <c r="P27" s="645" t="s">
        <v>45</v>
      </c>
      <c r="Q27" s="646"/>
      <c r="R27" s="646"/>
      <c r="S27" s="647" t="s">
        <v>46</v>
      </c>
      <c r="T27" s="637" t="s">
        <v>47</v>
      </c>
      <c r="U27" s="639" t="s">
        <v>44</v>
      </c>
      <c r="V27" s="645" t="s">
        <v>45</v>
      </c>
      <c r="W27" s="646"/>
      <c r="X27" s="646"/>
      <c r="Y27" s="647" t="s">
        <v>46</v>
      </c>
      <c r="Z27" s="637" t="s">
        <v>47</v>
      </c>
      <c r="AA27" s="639" t="s">
        <v>44</v>
      </c>
      <c r="AB27" s="664"/>
      <c r="AC27" s="3"/>
      <c r="AD27" s="3"/>
    </row>
    <row r="28" spans="1:30" ht="15.75" thickBot="1" x14ac:dyDescent="0.3">
      <c r="A28" s="3"/>
      <c r="B28" s="650"/>
      <c r="C28" s="652"/>
      <c r="D28" s="231" t="s">
        <v>48</v>
      </c>
      <c r="E28" s="232" t="s">
        <v>49</v>
      </c>
      <c r="F28" s="233" t="s">
        <v>50</v>
      </c>
      <c r="G28" s="648"/>
      <c r="H28" s="638"/>
      <c r="I28" s="640"/>
      <c r="J28" s="234" t="s">
        <v>48</v>
      </c>
      <c r="K28" s="235" t="s">
        <v>49</v>
      </c>
      <c r="L28" s="236" t="s">
        <v>50</v>
      </c>
      <c r="M28" s="669"/>
      <c r="N28" s="671"/>
      <c r="O28" s="673"/>
      <c r="P28" s="231" t="s">
        <v>48</v>
      </c>
      <c r="Q28" s="232" t="s">
        <v>49</v>
      </c>
      <c r="R28" s="233" t="s">
        <v>50</v>
      </c>
      <c r="S28" s="648"/>
      <c r="T28" s="638"/>
      <c r="U28" s="640"/>
      <c r="V28" s="231" t="s">
        <v>48</v>
      </c>
      <c r="W28" s="232" t="s">
        <v>49</v>
      </c>
      <c r="X28" s="233">
        <v>590</v>
      </c>
      <c r="Y28" s="648"/>
      <c r="Z28" s="638"/>
      <c r="AA28" s="640"/>
      <c r="AB28" s="665"/>
      <c r="AC28" s="3"/>
      <c r="AD28" s="3"/>
    </row>
    <row r="29" spans="1:30" x14ac:dyDescent="0.25">
      <c r="A29" s="3"/>
      <c r="B29" s="181" t="s">
        <v>51</v>
      </c>
      <c r="C29" s="182" t="s">
        <v>52</v>
      </c>
      <c r="D29" s="237"/>
      <c r="E29" s="237"/>
      <c r="F29" s="237">
        <v>160.40600000000001</v>
      </c>
      <c r="G29" s="238">
        <f>SUM(D29:F29)</f>
        <v>160.40600000000001</v>
      </c>
      <c r="H29" s="238">
        <v>7.7350000000000003</v>
      </c>
      <c r="I29" s="239">
        <f>G29+H29</f>
        <v>168.14100000000002</v>
      </c>
      <c r="J29" s="240"/>
      <c r="K29" s="237"/>
      <c r="L29" s="237">
        <v>600</v>
      </c>
      <c r="M29" s="408">
        <f>SUM(J29:L29)</f>
        <v>600</v>
      </c>
      <c r="N29" s="408"/>
      <c r="O29" s="241">
        <f>M29+N29</f>
        <v>600</v>
      </c>
      <c r="P29" s="240"/>
      <c r="Q29" s="237"/>
      <c r="R29" s="237">
        <v>20.033999999999999</v>
      </c>
      <c r="S29" s="238">
        <f>SUM(P29:R29)</f>
        <v>20.033999999999999</v>
      </c>
      <c r="T29" s="238"/>
      <c r="U29" s="239">
        <f>S29+T29</f>
        <v>20.033999999999999</v>
      </c>
      <c r="V29" s="240"/>
      <c r="W29" s="237"/>
      <c r="X29" s="237">
        <v>600</v>
      </c>
      <c r="Y29" s="238">
        <f>SUM(V29:X29)</f>
        <v>600</v>
      </c>
      <c r="Z29" s="238"/>
      <c r="AA29" s="239">
        <f>Y29+Z29</f>
        <v>600</v>
      </c>
      <c r="AB29" s="190">
        <f t="shared" ref="AB29:AB42" si="12">(AA29/O29)</f>
        <v>1</v>
      </c>
      <c r="AC29" s="3"/>
      <c r="AD29" s="3"/>
    </row>
    <row r="30" spans="1:30" x14ac:dyDescent="0.25">
      <c r="A30" s="3"/>
      <c r="B30" s="191" t="s">
        <v>53</v>
      </c>
      <c r="C30" s="206" t="s">
        <v>54</v>
      </c>
      <c r="D30" s="242"/>
      <c r="E30" s="242"/>
      <c r="F30" s="242">
        <v>341.2</v>
      </c>
      <c r="G30" s="243">
        <f t="shared" ref="G30:G38" si="13">SUM(D30:F30)</f>
        <v>341.2</v>
      </c>
      <c r="H30" s="243">
        <v>20.3</v>
      </c>
      <c r="I30" s="188">
        <f t="shared" ref="I30:I39" si="14">G30+H30</f>
        <v>361.5</v>
      </c>
      <c r="J30" s="244"/>
      <c r="K30" s="242"/>
      <c r="L30" s="242">
        <v>400</v>
      </c>
      <c r="M30" s="247">
        <f t="shared" ref="M30:M39" si="15">SUM(J30:L30)</f>
        <v>400</v>
      </c>
      <c r="N30" s="247"/>
      <c r="O30" s="189">
        <f t="shared" ref="O30:O39" si="16">M30+N30</f>
        <v>400</v>
      </c>
      <c r="P30" s="244"/>
      <c r="Q30" s="242">
        <v>2.58</v>
      </c>
      <c r="R30" s="242">
        <f>87.408-Q30</f>
        <v>84.828000000000003</v>
      </c>
      <c r="S30" s="243">
        <f t="shared" ref="S30:S39" si="17">SUM(P30:R30)</f>
        <v>87.408000000000001</v>
      </c>
      <c r="T30" s="243"/>
      <c r="U30" s="188">
        <f t="shared" ref="U30:U39" si="18">S30+T30</f>
        <v>87.408000000000001</v>
      </c>
      <c r="V30" s="244"/>
      <c r="W30" s="242"/>
      <c r="X30" s="242">
        <v>400</v>
      </c>
      <c r="Y30" s="243">
        <f t="shared" ref="Y30:Y39" si="19">SUM(V30:X30)</f>
        <v>400</v>
      </c>
      <c r="Z30" s="243"/>
      <c r="AA30" s="188">
        <f t="shared" ref="AA30:AA39" si="20">Y30+Z30</f>
        <v>400</v>
      </c>
      <c r="AB30" s="190">
        <f t="shared" si="12"/>
        <v>1</v>
      </c>
      <c r="AC30" s="3"/>
      <c r="AD30" s="3"/>
    </row>
    <row r="31" spans="1:30" x14ac:dyDescent="0.25">
      <c r="A31" s="3"/>
      <c r="B31" s="191" t="s">
        <v>55</v>
      </c>
      <c r="C31" s="206" t="s">
        <v>56</v>
      </c>
      <c r="D31" s="242">
        <f>1714.92-F31</f>
        <v>1546.92</v>
      </c>
      <c r="E31" s="242"/>
      <c r="F31" s="242">
        <v>168</v>
      </c>
      <c r="G31" s="243">
        <f t="shared" si="13"/>
        <v>1714.92</v>
      </c>
      <c r="H31" s="243">
        <v>8.0969999999999995</v>
      </c>
      <c r="I31" s="188">
        <f t="shared" si="14"/>
        <v>1723.0170000000001</v>
      </c>
      <c r="J31" s="244">
        <v>1443</v>
      </c>
      <c r="K31" s="242"/>
      <c r="L31" s="242">
        <v>350</v>
      </c>
      <c r="M31" s="247">
        <f t="shared" si="15"/>
        <v>1793</v>
      </c>
      <c r="N31" s="247"/>
      <c r="O31" s="189">
        <f t="shared" si="16"/>
        <v>1793</v>
      </c>
      <c r="P31" s="244">
        <f>1044.25-319.5</f>
        <v>724.75</v>
      </c>
      <c r="Q31" s="242"/>
      <c r="R31" s="242">
        <v>319.5</v>
      </c>
      <c r="S31" s="243">
        <f t="shared" si="17"/>
        <v>1044.25</v>
      </c>
      <c r="T31" s="243"/>
      <c r="U31" s="188">
        <f t="shared" si="18"/>
        <v>1044.25</v>
      </c>
      <c r="V31" s="244">
        <v>1527.5</v>
      </c>
      <c r="W31" s="242"/>
      <c r="X31" s="242">
        <v>390.5</v>
      </c>
      <c r="Y31" s="243">
        <f t="shared" si="19"/>
        <v>1918</v>
      </c>
      <c r="Z31" s="243"/>
      <c r="AA31" s="188">
        <f t="shared" si="20"/>
        <v>1918</v>
      </c>
      <c r="AB31" s="190">
        <f t="shared" si="12"/>
        <v>1.0697155605131066</v>
      </c>
      <c r="AC31" s="3"/>
      <c r="AD31" s="3"/>
    </row>
    <row r="32" spans="1:30" x14ac:dyDescent="0.25">
      <c r="A32" s="3"/>
      <c r="B32" s="191" t="s">
        <v>57</v>
      </c>
      <c r="C32" s="206" t="s">
        <v>58</v>
      </c>
      <c r="D32" s="242">
        <v>75</v>
      </c>
      <c r="E32" s="242">
        <v>545.5</v>
      </c>
      <c r="F32" s="242">
        <f>1510.223-D32-E32</f>
        <v>889.72299999999996</v>
      </c>
      <c r="G32" s="243">
        <f t="shared" si="13"/>
        <v>1510.223</v>
      </c>
      <c r="H32" s="243">
        <v>39.978000000000002</v>
      </c>
      <c r="I32" s="188">
        <f t="shared" si="14"/>
        <v>1550.201</v>
      </c>
      <c r="J32" s="244"/>
      <c r="K32" s="242">
        <v>1000</v>
      </c>
      <c r="L32" s="242">
        <v>925</v>
      </c>
      <c r="M32" s="247">
        <f t="shared" si="15"/>
        <v>1925</v>
      </c>
      <c r="N32" s="247"/>
      <c r="O32" s="189">
        <f t="shared" si="16"/>
        <v>1925</v>
      </c>
      <c r="P32" s="244"/>
      <c r="Q32" s="242">
        <v>12.49</v>
      </c>
      <c r="R32" s="242">
        <f>459.36-Q32</f>
        <v>446.87</v>
      </c>
      <c r="S32" s="243">
        <f t="shared" si="17"/>
        <v>459.36</v>
      </c>
      <c r="T32" s="243">
        <v>9.33</v>
      </c>
      <c r="U32" s="188">
        <f t="shared" si="18"/>
        <v>468.69</v>
      </c>
      <c r="V32" s="244">
        <v>50</v>
      </c>
      <c r="W32" s="242">
        <v>500</v>
      </c>
      <c r="X32" s="242">
        <v>1200</v>
      </c>
      <c r="Y32" s="243">
        <f t="shared" si="19"/>
        <v>1750</v>
      </c>
      <c r="Z32" s="243"/>
      <c r="AA32" s="188">
        <f t="shared" si="20"/>
        <v>1750</v>
      </c>
      <c r="AB32" s="190">
        <f t="shared" si="12"/>
        <v>0.90909090909090906</v>
      </c>
      <c r="AC32" s="3"/>
      <c r="AD32" s="3"/>
    </row>
    <row r="33" spans="1:30" x14ac:dyDescent="0.25">
      <c r="A33" s="3"/>
      <c r="B33" s="191" t="s">
        <v>59</v>
      </c>
      <c r="C33" s="206" t="s">
        <v>60</v>
      </c>
      <c r="D33" s="248">
        <v>261.39999999999998</v>
      </c>
      <c r="E33" s="242">
        <f>E34+E35</f>
        <v>17570.019999999997</v>
      </c>
      <c r="F33" s="242">
        <v>13</v>
      </c>
      <c r="G33" s="243">
        <f t="shared" si="13"/>
        <v>17844.419999999998</v>
      </c>
      <c r="H33" s="243">
        <v>18.3</v>
      </c>
      <c r="I33" s="188">
        <f t="shared" si="14"/>
        <v>17862.719999999998</v>
      </c>
      <c r="J33" s="249">
        <v>300</v>
      </c>
      <c r="K33" s="242">
        <v>17500</v>
      </c>
      <c r="L33" s="242"/>
      <c r="M33" s="247">
        <f t="shared" si="15"/>
        <v>17800</v>
      </c>
      <c r="N33" s="247">
        <v>30</v>
      </c>
      <c r="O33" s="189">
        <f t="shared" si="16"/>
        <v>17830</v>
      </c>
      <c r="P33" s="249">
        <f>P34+P35</f>
        <v>142.69999999999999</v>
      </c>
      <c r="Q33" s="242">
        <f>Q34+Q35</f>
        <v>8752.2599999999984</v>
      </c>
      <c r="R33" s="242" t="s">
        <v>227</v>
      </c>
      <c r="S33" s="243">
        <f t="shared" si="17"/>
        <v>8894.9599999999991</v>
      </c>
      <c r="T33" s="243">
        <v>10.5</v>
      </c>
      <c r="U33" s="188">
        <f t="shared" si="18"/>
        <v>8905.4599999999991</v>
      </c>
      <c r="V33" s="466">
        <f>V34+V35</f>
        <v>2102.9</v>
      </c>
      <c r="W33" s="242">
        <f>W34+W35</f>
        <v>18550</v>
      </c>
      <c r="X33" s="242"/>
      <c r="Y33" s="243">
        <f t="shared" si="19"/>
        <v>20652.900000000001</v>
      </c>
      <c r="Z33" s="243">
        <v>30</v>
      </c>
      <c r="AA33" s="188">
        <f t="shared" si="20"/>
        <v>20682.900000000001</v>
      </c>
      <c r="AB33" s="190">
        <f t="shared" si="12"/>
        <v>1.1600056085249579</v>
      </c>
      <c r="AC33" s="3"/>
      <c r="AD33" s="3"/>
    </row>
    <row r="34" spans="1:30" x14ac:dyDescent="0.25">
      <c r="A34" s="3"/>
      <c r="B34" s="191" t="s">
        <v>61</v>
      </c>
      <c r="C34" s="202" t="s">
        <v>228</v>
      </c>
      <c r="D34" s="248">
        <v>261.39999999999998</v>
      </c>
      <c r="E34" s="242">
        <f>17187.655+109.212</f>
        <v>17296.866999999998</v>
      </c>
      <c r="F34" s="242">
        <v>13</v>
      </c>
      <c r="G34" s="243">
        <f t="shared" si="13"/>
        <v>17571.267</v>
      </c>
      <c r="H34" s="243">
        <v>18.3</v>
      </c>
      <c r="I34" s="188">
        <f t="shared" si="14"/>
        <v>17589.566999999999</v>
      </c>
      <c r="J34" s="249">
        <v>300</v>
      </c>
      <c r="K34" s="242">
        <v>17500</v>
      </c>
      <c r="L34" s="242"/>
      <c r="M34" s="247">
        <f t="shared" si="15"/>
        <v>17800</v>
      </c>
      <c r="N34" s="247">
        <v>30</v>
      </c>
      <c r="O34" s="189">
        <f t="shared" si="16"/>
        <v>17830</v>
      </c>
      <c r="P34" s="249">
        <f>92.7+50</f>
        <v>142.69999999999999</v>
      </c>
      <c r="Q34" s="242">
        <v>8603.7999999999993</v>
      </c>
      <c r="R34" s="242"/>
      <c r="S34" s="243">
        <f t="shared" si="17"/>
        <v>8746.5</v>
      </c>
      <c r="T34" s="243">
        <v>10.5</v>
      </c>
      <c r="U34" s="188">
        <f t="shared" si="18"/>
        <v>8757</v>
      </c>
      <c r="V34" s="466">
        <v>2003</v>
      </c>
      <c r="W34" s="242">
        <v>18365</v>
      </c>
      <c r="X34" s="242"/>
      <c r="Y34" s="243">
        <f t="shared" si="19"/>
        <v>20368</v>
      </c>
      <c r="Z34" s="243">
        <v>30</v>
      </c>
      <c r="AA34" s="188">
        <f t="shared" si="20"/>
        <v>20398</v>
      </c>
      <c r="AB34" s="190">
        <f t="shared" si="12"/>
        <v>1.1440269209197982</v>
      </c>
      <c r="AC34" s="3"/>
      <c r="AD34" s="3"/>
    </row>
    <row r="35" spans="1:30" x14ac:dyDescent="0.25">
      <c r="A35" s="3"/>
      <c r="B35" s="191" t="s">
        <v>63</v>
      </c>
      <c r="C35" s="250" t="s">
        <v>64</v>
      </c>
      <c r="D35" s="248"/>
      <c r="E35" s="242">
        <f>69.147+204.006</f>
        <v>273.15300000000002</v>
      </c>
      <c r="F35" s="242"/>
      <c r="G35" s="243">
        <f t="shared" si="13"/>
        <v>273.15300000000002</v>
      </c>
      <c r="H35" s="243">
        <v>0</v>
      </c>
      <c r="I35" s="188">
        <f t="shared" si="14"/>
        <v>273.15300000000002</v>
      </c>
      <c r="J35" s="249"/>
      <c r="K35" s="242"/>
      <c r="L35" s="242"/>
      <c r="M35" s="247">
        <f>SUM(J35:L35)</f>
        <v>0</v>
      </c>
      <c r="N35" s="247"/>
      <c r="O35" s="189">
        <f t="shared" si="16"/>
        <v>0</v>
      </c>
      <c r="P35" s="249"/>
      <c r="Q35" s="242">
        <f>41.989+106.021+0.45</f>
        <v>148.45999999999998</v>
      </c>
      <c r="R35" s="242"/>
      <c r="S35" s="243">
        <f t="shared" si="17"/>
        <v>148.45999999999998</v>
      </c>
      <c r="T35" s="243"/>
      <c r="U35" s="188">
        <f t="shared" si="18"/>
        <v>148.45999999999998</v>
      </c>
      <c r="V35" s="466">
        <f>82+17.9</f>
        <v>99.9</v>
      </c>
      <c r="W35" s="242">
        <v>185</v>
      </c>
      <c r="X35" s="242"/>
      <c r="Y35" s="243">
        <f t="shared" si="19"/>
        <v>284.89999999999998</v>
      </c>
      <c r="Z35" s="243"/>
      <c r="AA35" s="188">
        <f t="shared" si="20"/>
        <v>284.89999999999998</v>
      </c>
      <c r="AB35" s="190" t="e">
        <f t="shared" si="12"/>
        <v>#DIV/0!</v>
      </c>
      <c r="AC35" s="3"/>
      <c r="AD35" s="3"/>
    </row>
    <row r="36" spans="1:30" x14ac:dyDescent="0.25">
      <c r="A36" s="3"/>
      <c r="B36" s="191" t="s">
        <v>65</v>
      </c>
      <c r="C36" s="206" t="s">
        <v>66</v>
      </c>
      <c r="D36" s="248">
        <v>34.6</v>
      </c>
      <c r="E36" s="242">
        <f>5678.96+11.3</f>
        <v>5690.26</v>
      </c>
      <c r="F36" s="242">
        <v>1.3</v>
      </c>
      <c r="G36" s="243">
        <f t="shared" si="13"/>
        <v>5726.1600000000008</v>
      </c>
      <c r="H36" s="243"/>
      <c r="I36" s="188">
        <f t="shared" si="14"/>
        <v>5726.1600000000008</v>
      </c>
      <c r="J36" s="249">
        <v>50</v>
      </c>
      <c r="K36" s="242">
        <v>6000</v>
      </c>
      <c r="L36" s="242"/>
      <c r="M36" s="247">
        <f t="shared" ref="M36" si="21">SUM(J36:L36)</f>
        <v>6050</v>
      </c>
      <c r="N36" s="247"/>
      <c r="O36" s="189">
        <f t="shared" si="16"/>
        <v>6050</v>
      </c>
      <c r="P36" s="249">
        <v>16.899999999999999</v>
      </c>
      <c r="Q36" s="242">
        <f>2881.378-P36</f>
        <v>2864.4780000000001</v>
      </c>
      <c r="R36" s="242"/>
      <c r="S36" s="243">
        <f t="shared" si="17"/>
        <v>2881.3780000000002</v>
      </c>
      <c r="T36" s="243"/>
      <c r="U36" s="188">
        <f t="shared" si="18"/>
        <v>2881.3780000000002</v>
      </c>
      <c r="V36" s="466">
        <v>617.9</v>
      </c>
      <c r="W36" s="242">
        <v>6400</v>
      </c>
      <c r="X36" s="242"/>
      <c r="Y36" s="243">
        <f t="shared" si="19"/>
        <v>7017.9</v>
      </c>
      <c r="Z36" s="243"/>
      <c r="AA36" s="188">
        <f t="shared" si="20"/>
        <v>7017.9</v>
      </c>
      <c r="AB36" s="190">
        <f t="shared" si="12"/>
        <v>1.1599834710743802</v>
      </c>
      <c r="AC36" s="3"/>
      <c r="AD36" s="3"/>
    </row>
    <row r="37" spans="1:30" x14ac:dyDescent="0.25">
      <c r="A37" s="3"/>
      <c r="B37" s="191" t="s">
        <v>67</v>
      </c>
      <c r="C37" s="206" t="s">
        <v>68</v>
      </c>
      <c r="D37" s="242"/>
      <c r="E37" s="242"/>
      <c r="F37" s="242"/>
      <c r="G37" s="243">
        <f t="shared" si="13"/>
        <v>0</v>
      </c>
      <c r="H37" s="243"/>
      <c r="I37" s="188">
        <f t="shared" si="14"/>
        <v>0</v>
      </c>
      <c r="J37" s="244"/>
      <c r="K37" s="242"/>
      <c r="L37" s="242">
        <v>50</v>
      </c>
      <c r="M37" s="247">
        <f t="shared" si="15"/>
        <v>50</v>
      </c>
      <c r="N37" s="247"/>
      <c r="O37" s="189">
        <f t="shared" si="16"/>
        <v>50</v>
      </c>
      <c r="P37" s="244"/>
      <c r="Q37" s="242"/>
      <c r="R37" s="242">
        <v>15.782999999999999</v>
      </c>
      <c r="S37" s="243">
        <f t="shared" si="17"/>
        <v>15.782999999999999</v>
      </c>
      <c r="T37" s="243"/>
      <c r="U37" s="188">
        <f t="shared" si="18"/>
        <v>15.782999999999999</v>
      </c>
      <c r="V37" s="244"/>
      <c r="W37" s="242"/>
      <c r="X37" s="242">
        <v>50</v>
      </c>
      <c r="Y37" s="243">
        <f t="shared" si="19"/>
        <v>50</v>
      </c>
      <c r="Z37" s="243"/>
      <c r="AA37" s="188">
        <f t="shared" si="20"/>
        <v>50</v>
      </c>
      <c r="AB37" s="190">
        <f t="shared" si="12"/>
        <v>1</v>
      </c>
      <c r="AC37" s="3"/>
      <c r="AD37" s="3"/>
    </row>
    <row r="38" spans="1:30" x14ac:dyDescent="0.25">
      <c r="A38" s="3"/>
      <c r="B38" s="191" t="s">
        <v>69</v>
      </c>
      <c r="C38" s="206" t="s">
        <v>70</v>
      </c>
      <c r="D38" s="242">
        <f>654.096-267</f>
        <v>387.096</v>
      </c>
      <c r="E38" s="242"/>
      <c r="F38" s="242">
        <v>267</v>
      </c>
      <c r="G38" s="243">
        <f t="shared" si="13"/>
        <v>654.096</v>
      </c>
      <c r="H38" s="243"/>
      <c r="I38" s="188">
        <f t="shared" si="14"/>
        <v>654.096</v>
      </c>
      <c r="J38" s="244">
        <v>344</v>
      </c>
      <c r="K38" s="242"/>
      <c r="L38" s="242">
        <v>254</v>
      </c>
      <c r="M38" s="247">
        <f t="shared" si="15"/>
        <v>598</v>
      </c>
      <c r="N38" s="247"/>
      <c r="O38" s="189">
        <f t="shared" si="16"/>
        <v>598</v>
      </c>
      <c r="P38" s="244">
        <f>316.764-R38</f>
        <v>183.26400000000001</v>
      </c>
      <c r="Q38" s="242"/>
      <c r="R38" s="242">
        <v>133.5</v>
      </c>
      <c r="S38" s="243">
        <f t="shared" si="17"/>
        <v>316.76400000000001</v>
      </c>
      <c r="T38" s="243"/>
      <c r="U38" s="188">
        <f t="shared" si="18"/>
        <v>316.76400000000001</v>
      </c>
      <c r="V38" s="244">
        <v>322.5</v>
      </c>
      <c r="W38" s="242"/>
      <c r="X38" s="242">
        <v>240.29</v>
      </c>
      <c r="Y38" s="243">
        <f t="shared" si="19"/>
        <v>562.79</v>
      </c>
      <c r="Z38" s="243"/>
      <c r="AA38" s="188">
        <f t="shared" si="20"/>
        <v>562.79</v>
      </c>
      <c r="AB38" s="190">
        <f t="shared" si="12"/>
        <v>0.94112040133779262</v>
      </c>
      <c r="AC38" s="3"/>
      <c r="AD38" s="3"/>
    </row>
    <row r="39" spans="1:30" ht="15.75" thickBot="1" x14ac:dyDescent="0.3">
      <c r="A39" s="3"/>
      <c r="B39" s="409" t="s">
        <v>71</v>
      </c>
      <c r="C39" s="251" t="s">
        <v>72</v>
      </c>
      <c r="D39" s="85"/>
      <c r="E39" s="85">
        <f>99.943+3.153+115.335+1.583</f>
        <v>220.01399999999998</v>
      </c>
      <c r="F39" s="85">
        <v>633.6</v>
      </c>
      <c r="G39" s="243">
        <f>SUM(D39:F39)</f>
        <v>853.61400000000003</v>
      </c>
      <c r="H39" s="252">
        <v>2.4</v>
      </c>
      <c r="I39" s="215">
        <f t="shared" si="14"/>
        <v>856.01400000000001</v>
      </c>
      <c r="J39" s="253"/>
      <c r="K39" s="85">
        <v>500</v>
      </c>
      <c r="L39" s="85">
        <v>575</v>
      </c>
      <c r="M39" s="412">
        <f t="shared" si="15"/>
        <v>1075</v>
      </c>
      <c r="N39" s="412"/>
      <c r="O39" s="216">
        <f t="shared" si="16"/>
        <v>1075</v>
      </c>
      <c r="P39" s="253"/>
      <c r="Q39" s="85">
        <v>4.0279999999999996</v>
      </c>
      <c r="R39" s="85">
        <f>21.241+42.571+27.479+0+9.29+21.169-Q39</f>
        <v>117.72199999999998</v>
      </c>
      <c r="S39" s="252">
        <f t="shared" si="17"/>
        <v>121.74999999999999</v>
      </c>
      <c r="T39" s="252"/>
      <c r="U39" s="215">
        <f t="shared" si="18"/>
        <v>121.74999999999999</v>
      </c>
      <c r="V39" s="253">
        <v>40</v>
      </c>
      <c r="W39" s="85">
        <v>100</v>
      </c>
      <c r="X39" s="85">
        <v>259.5</v>
      </c>
      <c r="Y39" s="252">
        <f t="shared" si="19"/>
        <v>399.5</v>
      </c>
      <c r="Z39" s="252"/>
      <c r="AA39" s="215">
        <f t="shared" si="20"/>
        <v>399.5</v>
      </c>
      <c r="AB39" s="217">
        <f t="shared" si="12"/>
        <v>0.37162790697674419</v>
      </c>
      <c r="AC39" s="3"/>
      <c r="AD39" s="3"/>
    </row>
    <row r="40" spans="1:30" ht="15.75" thickBot="1" x14ac:dyDescent="0.3">
      <c r="A40" s="3"/>
      <c r="B40" s="218" t="s">
        <v>73</v>
      </c>
      <c r="C40" s="255" t="s">
        <v>74</v>
      </c>
      <c r="D40" s="256">
        <f>SUM(D36:D39)+SUM(D29:D33)</f>
        <v>2305.0160000000001</v>
      </c>
      <c r="E40" s="256">
        <f>SUM(E36:E39)+SUM(E29:E33)</f>
        <v>24025.793999999998</v>
      </c>
      <c r="F40" s="256">
        <f>SUM(F36:F39)+SUM(F29:F33)</f>
        <v>2474.2290000000003</v>
      </c>
      <c r="G40" s="257">
        <f>SUM(D40:F40)</f>
        <v>28805.038999999997</v>
      </c>
      <c r="H40" s="258">
        <f>SUM(H29:H33)+SUM(H36:H39)</f>
        <v>96.81</v>
      </c>
      <c r="I40" s="259">
        <f>SUM(I36:I39)+SUM(I29:I33)</f>
        <v>28901.848999999998</v>
      </c>
      <c r="J40" s="260">
        <f>SUM(J36:J39)+SUM(J29:J33)</f>
        <v>2137</v>
      </c>
      <c r="K40" s="260">
        <f>SUM(K36:K39)+SUM(K29:K33)</f>
        <v>25000</v>
      </c>
      <c r="L40" s="260">
        <f>SUM(L36:L39)+SUM(L29:L33)</f>
        <v>3154</v>
      </c>
      <c r="M40" s="261">
        <f>SUM(J40:L40)</f>
        <v>30291</v>
      </c>
      <c r="N40" s="262">
        <f>SUM(N29:N33)+SUM(N36:N39)</f>
        <v>30</v>
      </c>
      <c r="O40" s="263">
        <f>SUM(O36:O39)+SUM(O29:O33)</f>
        <v>30321</v>
      </c>
      <c r="P40" s="256">
        <f>SUM(P36:P39)+SUM(P29:P33)</f>
        <v>1067.614</v>
      </c>
      <c r="Q40" s="256">
        <f>SUM(Q36:Q39)+SUM(Q29:Q33)</f>
        <v>11635.835999999998</v>
      </c>
      <c r="R40" s="256">
        <f>SUM(R36:R39)+SUM(R29:R33)</f>
        <v>1138.2370000000001</v>
      </c>
      <c r="S40" s="257">
        <f>SUM(P40:R40)</f>
        <v>13841.686999999998</v>
      </c>
      <c r="T40" s="258">
        <f>SUM(T29:T33)+SUM(T36:T39)</f>
        <v>19.829999999999998</v>
      </c>
      <c r="U40" s="259">
        <f>SUM(U36:U39)+SUM(U29:U33)</f>
        <v>13861.517</v>
      </c>
      <c r="V40" s="256">
        <f>SUM(V36:V39)+SUM(V29:V33)</f>
        <v>4660.8</v>
      </c>
      <c r="W40" s="256">
        <f>SUM(W36:W39)+SUM(W29:W33)</f>
        <v>25550</v>
      </c>
      <c r="X40" s="256">
        <f>SUM(X36:X39)+SUM(X29:X33)</f>
        <v>3140.29</v>
      </c>
      <c r="Y40" s="257">
        <f>SUM(V40:X40)</f>
        <v>33351.089999999997</v>
      </c>
      <c r="Z40" s="258">
        <f>SUM(Z29:Z33)+SUM(Z36:Z39)</f>
        <v>30</v>
      </c>
      <c r="AA40" s="259">
        <f>SUM(AA36:AA39)+SUM(AA29:AA33)</f>
        <v>33381.090000000004</v>
      </c>
      <c r="AB40" s="264">
        <f t="shared" si="12"/>
        <v>1.1009231225883052</v>
      </c>
      <c r="AC40" s="3"/>
      <c r="AD40" s="3"/>
    </row>
    <row r="41" spans="1:30" ht="19.5" thickBot="1" x14ac:dyDescent="0.35">
      <c r="A41" s="3"/>
      <c r="B41" s="265" t="s">
        <v>75</v>
      </c>
      <c r="C41" s="266" t="s">
        <v>76</v>
      </c>
      <c r="D41" s="267">
        <f t="shared" ref="D41:AA41" si="22">D25-D40</f>
        <v>-1.6000000000076398E-2</v>
      </c>
      <c r="E41" s="267">
        <f t="shared" si="22"/>
        <v>2.3000000001047738E-2</v>
      </c>
      <c r="F41" s="267">
        <f t="shared" si="22"/>
        <v>384.39599999999973</v>
      </c>
      <c r="G41" s="268">
        <f t="shared" si="22"/>
        <v>384.40300000000207</v>
      </c>
      <c r="H41" s="268">
        <f t="shared" si="22"/>
        <v>45.889999999999986</v>
      </c>
      <c r="I41" s="269">
        <f t="shared" si="22"/>
        <v>430.29300000000148</v>
      </c>
      <c r="J41" s="267">
        <f t="shared" si="22"/>
        <v>0</v>
      </c>
      <c r="K41" s="267">
        <f t="shared" si="22"/>
        <v>0</v>
      </c>
      <c r="L41" s="267">
        <f t="shared" si="22"/>
        <v>-150</v>
      </c>
      <c r="M41" s="270">
        <f t="shared" si="22"/>
        <v>-150</v>
      </c>
      <c r="N41" s="270">
        <f t="shared" si="22"/>
        <v>150</v>
      </c>
      <c r="O41" s="271">
        <f t="shared" si="22"/>
        <v>0</v>
      </c>
      <c r="P41" s="267">
        <f t="shared" si="22"/>
        <v>-1.3999999999896318E-2</v>
      </c>
      <c r="Q41" s="267">
        <f t="shared" si="22"/>
        <v>790.64700000000266</v>
      </c>
      <c r="R41" s="267">
        <f t="shared" si="22"/>
        <v>473.72299999999996</v>
      </c>
      <c r="S41" s="268">
        <f t="shared" si="22"/>
        <v>1264.3560000000034</v>
      </c>
      <c r="T41" s="268">
        <f t="shared" si="22"/>
        <v>63.769999999999996</v>
      </c>
      <c r="U41" s="269">
        <f t="shared" si="22"/>
        <v>1328.1460000000006</v>
      </c>
      <c r="V41" s="267">
        <f t="shared" si="22"/>
        <v>0</v>
      </c>
      <c r="W41" s="267">
        <f t="shared" si="22"/>
        <v>0</v>
      </c>
      <c r="X41" s="267">
        <f t="shared" si="22"/>
        <v>-150</v>
      </c>
      <c r="Y41" s="268">
        <f t="shared" si="22"/>
        <v>-150</v>
      </c>
      <c r="Z41" s="268">
        <f t="shared" si="22"/>
        <v>150</v>
      </c>
      <c r="AA41" s="269">
        <f t="shared" si="22"/>
        <v>0</v>
      </c>
      <c r="AB41" s="272" t="e">
        <f t="shared" si="12"/>
        <v>#DIV/0!</v>
      </c>
      <c r="AC41" s="3"/>
      <c r="AD41" s="3"/>
    </row>
    <row r="42" spans="1:30" ht="15.75" thickBot="1" x14ac:dyDescent="0.3">
      <c r="A42" s="3"/>
      <c r="B42" s="273" t="s">
        <v>77</v>
      </c>
      <c r="C42" s="274" t="s">
        <v>78</v>
      </c>
      <c r="D42" s="275"/>
      <c r="E42" s="276"/>
      <c r="F42" s="276"/>
      <c r="G42" s="277"/>
      <c r="H42" s="278"/>
      <c r="I42" s="279">
        <f>I41-D16</f>
        <v>-1662.7069999999985</v>
      </c>
      <c r="J42" s="275"/>
      <c r="K42" s="276"/>
      <c r="L42" s="276"/>
      <c r="M42" s="277"/>
      <c r="N42" s="280"/>
      <c r="O42" s="279">
        <f>O41-J16</f>
        <v>-2000</v>
      </c>
      <c r="P42" s="275"/>
      <c r="Q42" s="276"/>
      <c r="R42" s="276"/>
      <c r="S42" s="277"/>
      <c r="T42" s="280"/>
      <c r="U42" s="279">
        <f>U41-P16</f>
        <v>327.94600000000059</v>
      </c>
      <c r="V42" s="275"/>
      <c r="W42" s="276"/>
      <c r="X42" s="276"/>
      <c r="Y42" s="277"/>
      <c r="Z42" s="280"/>
      <c r="AA42" s="279">
        <f>AA41-V16</f>
        <v>-2050</v>
      </c>
      <c r="AB42" s="190">
        <f t="shared" si="12"/>
        <v>1.0249999999999999</v>
      </c>
      <c r="AC42" s="3"/>
      <c r="AD42" s="3"/>
    </row>
    <row r="43" spans="1:30" ht="8.25" customHeight="1" thickBot="1" x14ac:dyDescent="0.3">
      <c r="A43" s="3"/>
      <c r="B43" s="281"/>
      <c r="C43" s="282"/>
      <c r="D43" s="283"/>
      <c r="E43" s="284"/>
      <c r="F43" s="284"/>
      <c r="G43" s="3"/>
      <c r="H43" s="284"/>
      <c r="I43" s="284"/>
      <c r="J43" s="283"/>
      <c r="K43" s="284"/>
      <c r="L43" s="284"/>
      <c r="M43" s="3"/>
      <c r="N43" s="284"/>
      <c r="O43" s="284"/>
      <c r="P43" s="284"/>
      <c r="Q43" s="284"/>
      <c r="R43" s="284"/>
      <c r="S43" s="284"/>
      <c r="T43" s="284"/>
      <c r="U43" s="284"/>
      <c r="V43" s="3"/>
      <c r="W43" s="3"/>
      <c r="X43" s="3"/>
      <c r="Y43" s="3"/>
      <c r="Z43" s="3"/>
      <c r="AA43" s="3"/>
      <c r="AB43" s="3"/>
      <c r="AC43" s="3"/>
      <c r="AD43" s="3"/>
    </row>
    <row r="44" spans="1:30" ht="15.75" customHeight="1" thickBot="1" x14ac:dyDescent="0.3">
      <c r="A44" s="3"/>
      <c r="B44" s="281"/>
      <c r="C44" s="641" t="s">
        <v>79</v>
      </c>
      <c r="D44" s="123" t="s">
        <v>80</v>
      </c>
      <c r="E44" s="285" t="s">
        <v>81</v>
      </c>
      <c r="F44" s="286" t="s">
        <v>82</v>
      </c>
      <c r="G44" s="284"/>
      <c r="H44" s="284"/>
      <c r="I44" s="287"/>
      <c r="J44" s="123" t="s">
        <v>80</v>
      </c>
      <c r="K44" s="285" t="s">
        <v>81</v>
      </c>
      <c r="L44" s="286" t="s">
        <v>82</v>
      </c>
      <c r="M44" s="284"/>
      <c r="N44" s="284"/>
      <c r="O44" s="284"/>
      <c r="P44" s="123" t="s">
        <v>80</v>
      </c>
      <c r="Q44" s="285" t="s">
        <v>81</v>
      </c>
      <c r="R44" s="286" t="s">
        <v>82</v>
      </c>
      <c r="S44" s="3"/>
      <c r="T44" s="3"/>
      <c r="U44" s="3"/>
      <c r="V44" s="123" t="s">
        <v>80</v>
      </c>
      <c r="W44" s="285" t="s">
        <v>81</v>
      </c>
      <c r="X44" s="286" t="s">
        <v>82</v>
      </c>
      <c r="Y44" s="3"/>
      <c r="Z44" s="3"/>
      <c r="AA44" s="3"/>
      <c r="AB44" s="3"/>
      <c r="AC44" s="3"/>
      <c r="AD44" s="3"/>
    </row>
    <row r="45" spans="1:30" ht="15.75" thickBot="1" x14ac:dyDescent="0.3">
      <c r="A45" s="3"/>
      <c r="B45" s="281"/>
      <c r="C45" s="642"/>
      <c r="D45" s="288">
        <v>112.4</v>
      </c>
      <c r="E45" s="289">
        <v>112.4</v>
      </c>
      <c r="F45" s="290">
        <v>0</v>
      </c>
      <c r="G45" s="284"/>
      <c r="H45" s="284"/>
      <c r="I45" s="287"/>
      <c r="J45" s="288">
        <v>112.4</v>
      </c>
      <c r="K45" s="289">
        <v>112.4</v>
      </c>
      <c r="L45" s="290">
        <v>0</v>
      </c>
      <c r="M45" s="291"/>
      <c r="N45" s="291"/>
      <c r="O45" s="291"/>
      <c r="P45" s="288">
        <v>56.2</v>
      </c>
      <c r="Q45" s="289">
        <v>56.195999999999998</v>
      </c>
      <c r="R45" s="290">
        <v>0</v>
      </c>
      <c r="S45" s="3"/>
      <c r="T45" s="3"/>
      <c r="U45" s="3"/>
      <c r="V45" s="288">
        <v>112.4</v>
      </c>
      <c r="W45" s="289">
        <v>112.4</v>
      </c>
      <c r="X45" s="290">
        <v>0</v>
      </c>
      <c r="Y45" s="3"/>
      <c r="Z45" s="3"/>
      <c r="AA45" s="3"/>
      <c r="AB45" s="3"/>
      <c r="AC45" s="3"/>
      <c r="AD45" s="3"/>
    </row>
    <row r="46" spans="1:30" ht="8.25" customHeight="1" thickBot="1" x14ac:dyDescent="0.3">
      <c r="A46" s="3"/>
      <c r="B46" s="281"/>
      <c r="C46" s="282"/>
      <c r="D46" s="291"/>
      <c r="E46" s="284"/>
      <c r="F46" s="284"/>
      <c r="G46" s="284"/>
      <c r="H46" s="284"/>
      <c r="I46" s="287"/>
      <c r="J46" s="284"/>
      <c r="K46" s="284"/>
      <c r="L46" s="284"/>
      <c r="M46" s="284"/>
      <c r="N46" s="284"/>
      <c r="O46" s="287"/>
      <c r="P46" s="287"/>
      <c r="Q46" s="287"/>
      <c r="R46" s="287"/>
      <c r="S46" s="287"/>
      <c r="T46" s="287"/>
      <c r="U46" s="287"/>
      <c r="V46" s="3"/>
      <c r="W46" s="3"/>
      <c r="X46" s="3"/>
      <c r="Y46" s="3"/>
      <c r="Z46" s="3"/>
      <c r="AA46" s="3"/>
      <c r="AB46" s="3"/>
      <c r="AC46" s="3"/>
      <c r="AD46" s="3"/>
    </row>
    <row r="47" spans="1:30" ht="37.5" customHeight="1" thickBot="1" x14ac:dyDescent="0.3">
      <c r="A47" s="3"/>
      <c r="B47" s="281"/>
      <c r="C47" s="641" t="s">
        <v>83</v>
      </c>
      <c r="D47" s="131" t="s">
        <v>84</v>
      </c>
      <c r="E47" s="292" t="s">
        <v>85</v>
      </c>
      <c r="F47" s="284"/>
      <c r="G47" s="284"/>
      <c r="H47" s="284"/>
      <c r="I47" s="287"/>
      <c r="J47" s="131" t="s">
        <v>84</v>
      </c>
      <c r="K47" s="292" t="s">
        <v>85</v>
      </c>
      <c r="L47" s="293"/>
      <c r="M47" s="293"/>
      <c r="N47" s="3"/>
      <c r="O47" s="3"/>
      <c r="P47" s="131" t="s">
        <v>84</v>
      </c>
      <c r="Q47" s="292" t="s">
        <v>85</v>
      </c>
      <c r="R47" s="3"/>
      <c r="S47" s="3"/>
      <c r="T47" s="3"/>
      <c r="U47" s="3"/>
      <c r="V47" s="131" t="s">
        <v>84</v>
      </c>
      <c r="W47" s="292" t="s">
        <v>85</v>
      </c>
      <c r="X47" s="3"/>
      <c r="Y47" s="3"/>
      <c r="Z47" s="3"/>
      <c r="AA47" s="3"/>
      <c r="AB47" s="3"/>
      <c r="AC47" s="3"/>
      <c r="AD47" s="3"/>
    </row>
    <row r="48" spans="1:30" ht="15.75" thickBot="1" x14ac:dyDescent="0.3">
      <c r="A48" s="3"/>
      <c r="B48" s="294"/>
      <c r="C48" s="643"/>
      <c r="D48" s="288">
        <v>0</v>
      </c>
      <c r="E48" s="295">
        <v>0</v>
      </c>
      <c r="F48" s="284"/>
      <c r="G48" s="284"/>
      <c r="H48" s="284"/>
      <c r="I48" s="287"/>
      <c r="J48" s="288">
        <v>0</v>
      </c>
      <c r="K48" s="295">
        <v>0</v>
      </c>
      <c r="L48" s="296"/>
      <c r="M48" s="296"/>
      <c r="N48" s="3"/>
      <c r="O48" s="3"/>
      <c r="P48" s="288">
        <v>0</v>
      </c>
      <c r="Q48" s="295">
        <v>0</v>
      </c>
      <c r="R48" s="3"/>
      <c r="S48" s="3"/>
      <c r="T48" s="3"/>
      <c r="U48" s="3"/>
      <c r="V48" s="288">
        <v>0</v>
      </c>
      <c r="W48" s="295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294"/>
      <c r="C49" s="282"/>
      <c r="D49" s="284"/>
      <c r="E49" s="284"/>
      <c r="F49" s="284"/>
      <c r="G49" s="284"/>
      <c r="H49" s="284"/>
      <c r="I49" s="287"/>
      <c r="J49" s="284"/>
      <c r="K49" s="284"/>
      <c r="L49" s="284"/>
      <c r="M49" s="284"/>
      <c r="N49" s="284"/>
      <c r="O49" s="287"/>
      <c r="P49" s="287"/>
      <c r="Q49" s="287"/>
      <c r="R49" s="287"/>
      <c r="S49" s="287"/>
      <c r="T49" s="287"/>
      <c r="U49" s="287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3"/>
      <c r="B50" s="294"/>
      <c r="C50" s="297" t="s">
        <v>86</v>
      </c>
      <c r="D50" s="298" t="s">
        <v>87</v>
      </c>
      <c r="E50" s="298" t="s">
        <v>88</v>
      </c>
      <c r="F50" s="298" t="s">
        <v>89</v>
      </c>
      <c r="G50" s="298" t="s">
        <v>90</v>
      </c>
      <c r="H50" s="284"/>
      <c r="I50" s="3"/>
      <c r="J50" s="298" t="s">
        <v>87</v>
      </c>
      <c r="K50" s="298" t="s">
        <v>88</v>
      </c>
      <c r="L50" s="298" t="s">
        <v>89</v>
      </c>
      <c r="M50" s="298" t="s">
        <v>91</v>
      </c>
      <c r="N50" s="3"/>
      <c r="O50" s="3"/>
      <c r="P50" s="298" t="s">
        <v>87</v>
      </c>
      <c r="Q50" s="298" t="s">
        <v>88</v>
      </c>
      <c r="R50" s="298" t="s">
        <v>89</v>
      </c>
      <c r="S50" s="298" t="s">
        <v>91</v>
      </c>
      <c r="T50" s="3"/>
      <c r="U50" s="3"/>
      <c r="V50" s="298" t="s">
        <v>92</v>
      </c>
      <c r="W50" s="298" t="s">
        <v>88</v>
      </c>
      <c r="X50" s="298" t="s">
        <v>89</v>
      </c>
      <c r="Y50" s="298" t="s">
        <v>91</v>
      </c>
      <c r="Z50" s="3"/>
      <c r="AA50" s="3"/>
      <c r="AB50" s="3"/>
      <c r="AC50" s="3"/>
      <c r="AD50" s="3"/>
    </row>
    <row r="51" spans="1:30" x14ac:dyDescent="0.25">
      <c r="A51" s="3"/>
      <c r="B51" s="294"/>
      <c r="C51" s="299" t="s">
        <v>93</v>
      </c>
      <c r="D51" s="300"/>
      <c r="E51" s="300"/>
      <c r="F51" s="300"/>
      <c r="G51" s="301">
        <f>D51+E51-F51</f>
        <v>0</v>
      </c>
      <c r="H51" s="284"/>
      <c r="I51" s="3"/>
      <c r="J51" s="301"/>
      <c r="K51" s="300"/>
      <c r="L51" s="300"/>
      <c r="M51" s="301">
        <f>J51+K51-L51</f>
        <v>0</v>
      </c>
      <c r="N51" s="3"/>
      <c r="O51" s="3"/>
      <c r="P51" s="300"/>
      <c r="Q51" s="300"/>
      <c r="R51" s="300"/>
      <c r="S51" s="301">
        <f>P51+Q51-R51</f>
        <v>0</v>
      </c>
      <c r="T51" s="3"/>
      <c r="U51" s="3"/>
      <c r="V51" s="300"/>
      <c r="W51" s="300"/>
      <c r="X51" s="300"/>
      <c r="Y51" s="301">
        <f>V51+W51-X51</f>
        <v>0</v>
      </c>
      <c r="Z51" s="3"/>
      <c r="AA51" s="3"/>
      <c r="AB51" s="3"/>
      <c r="AC51" s="3"/>
      <c r="AD51" s="3"/>
    </row>
    <row r="52" spans="1:30" x14ac:dyDescent="0.25">
      <c r="A52" s="3"/>
      <c r="B52" s="294"/>
      <c r="C52" s="299" t="s">
        <v>94</v>
      </c>
      <c r="D52" s="300">
        <f>937.96+176.084</f>
        <v>1114.0440000000001</v>
      </c>
      <c r="E52" s="300">
        <f>209.08+0</f>
        <v>209.08</v>
      </c>
      <c r="F52" s="300">
        <v>0</v>
      </c>
      <c r="G52" s="301">
        <f t="shared" ref="G52:G55" si="23">D52+E52-F52</f>
        <v>1323.124</v>
      </c>
      <c r="H52" s="284"/>
      <c r="I52" s="3"/>
      <c r="J52" s="300">
        <v>1323</v>
      </c>
      <c r="K52" s="300">
        <v>0</v>
      </c>
      <c r="L52" s="300">
        <v>0</v>
      </c>
      <c r="M52" s="301">
        <v>1323</v>
      </c>
      <c r="N52" s="3"/>
      <c r="O52" s="3"/>
      <c r="P52" s="301">
        <v>1323.124</v>
      </c>
      <c r="Q52" s="300">
        <v>357.09699999999998</v>
      </c>
      <c r="R52" s="300">
        <v>3</v>
      </c>
      <c r="S52" s="301">
        <v>1323</v>
      </c>
      <c r="T52" s="3"/>
      <c r="U52" s="3"/>
      <c r="V52" s="300">
        <v>1700</v>
      </c>
      <c r="W52" s="300">
        <v>50</v>
      </c>
      <c r="X52" s="300"/>
      <c r="Y52" s="301">
        <f t="shared" ref="Y52:Y55" si="24">V52+W52-X52</f>
        <v>1750</v>
      </c>
      <c r="Z52" s="3"/>
      <c r="AA52" s="3"/>
      <c r="AB52" s="3"/>
      <c r="AC52" s="3"/>
      <c r="AD52" s="3"/>
    </row>
    <row r="53" spans="1:30" x14ac:dyDescent="0.25">
      <c r="A53" s="3"/>
      <c r="B53" s="294"/>
      <c r="C53" s="299" t="s">
        <v>95</v>
      </c>
      <c r="D53" s="300">
        <v>1003</v>
      </c>
      <c r="E53" s="300">
        <v>387.05399999999997</v>
      </c>
      <c r="F53" s="300">
        <v>112.4</v>
      </c>
      <c r="G53" s="301">
        <f t="shared" si="23"/>
        <v>1277.654</v>
      </c>
      <c r="H53" s="284"/>
      <c r="I53" s="3"/>
      <c r="J53" s="300">
        <v>1276</v>
      </c>
      <c r="K53" s="300">
        <v>386</v>
      </c>
      <c r="L53" s="300">
        <v>112.4</v>
      </c>
      <c r="M53" s="301">
        <v>1549.6</v>
      </c>
      <c r="N53" s="3"/>
      <c r="O53" s="3"/>
      <c r="P53" s="301">
        <v>1277.654</v>
      </c>
      <c r="Q53" s="300">
        <v>183.25</v>
      </c>
      <c r="R53" s="300">
        <v>56.195999999999998</v>
      </c>
      <c r="S53" s="301">
        <v>1549.6</v>
      </c>
      <c r="T53" s="3"/>
      <c r="U53" s="3"/>
      <c r="V53" s="300">
        <v>1550</v>
      </c>
      <c r="W53" s="300">
        <v>322</v>
      </c>
      <c r="X53" s="300">
        <v>112</v>
      </c>
      <c r="Y53" s="301">
        <f t="shared" si="24"/>
        <v>1760</v>
      </c>
      <c r="Z53" s="3"/>
      <c r="AA53" s="3"/>
      <c r="AB53" s="3"/>
      <c r="AC53" s="3"/>
      <c r="AD53" s="3"/>
    </row>
    <row r="54" spans="1:30" x14ac:dyDescent="0.25">
      <c r="A54" s="3"/>
      <c r="B54" s="294"/>
      <c r="C54" s="299" t="s">
        <v>96</v>
      </c>
      <c r="D54" s="300">
        <v>277.66000000000003</v>
      </c>
      <c r="E54" s="300">
        <v>20</v>
      </c>
      <c r="F54" s="300">
        <v>0</v>
      </c>
      <c r="G54" s="301">
        <f t="shared" si="23"/>
        <v>297.66000000000003</v>
      </c>
      <c r="H54" s="284"/>
      <c r="I54" s="3"/>
      <c r="J54" s="300">
        <v>278</v>
      </c>
      <c r="K54" s="300">
        <v>20</v>
      </c>
      <c r="L54" s="300">
        <v>20</v>
      </c>
      <c r="M54" s="301">
        <v>278</v>
      </c>
      <c r="N54" s="3"/>
      <c r="O54" s="3"/>
      <c r="P54" s="301">
        <v>297.66000000000003</v>
      </c>
      <c r="Q54" s="300">
        <v>20</v>
      </c>
      <c r="R54" s="300"/>
      <c r="S54" s="301">
        <v>278</v>
      </c>
      <c r="T54" s="3"/>
      <c r="U54" s="3"/>
      <c r="V54" s="300">
        <v>300</v>
      </c>
      <c r="W54" s="300">
        <v>20</v>
      </c>
      <c r="X54" s="300"/>
      <c r="Y54" s="301">
        <f t="shared" si="24"/>
        <v>320</v>
      </c>
      <c r="Z54" s="3"/>
      <c r="AA54" s="3"/>
      <c r="AB54" s="3"/>
      <c r="AC54" s="3"/>
      <c r="AD54" s="3"/>
    </row>
    <row r="55" spans="1:30" x14ac:dyDescent="0.25">
      <c r="A55" s="3"/>
      <c r="B55" s="294"/>
      <c r="C55" s="302" t="s">
        <v>97</v>
      </c>
      <c r="D55" s="300">
        <v>241.04</v>
      </c>
      <c r="E55" s="300">
        <v>170.59</v>
      </c>
      <c r="F55" s="300">
        <v>148.1</v>
      </c>
      <c r="G55" s="301">
        <f t="shared" si="23"/>
        <v>263.52999999999997</v>
      </c>
      <c r="H55" s="284"/>
      <c r="I55" s="3"/>
      <c r="J55" s="300">
        <v>230</v>
      </c>
      <c r="K55" s="300">
        <v>170</v>
      </c>
      <c r="L55" s="300">
        <v>170</v>
      </c>
      <c r="M55" s="301">
        <v>230</v>
      </c>
      <c r="N55" s="3"/>
      <c r="O55" s="3"/>
      <c r="P55" s="301">
        <v>263.52999999999997</v>
      </c>
      <c r="Q55" s="300">
        <v>85.71</v>
      </c>
      <c r="R55" s="300">
        <v>90.39</v>
      </c>
      <c r="S55" s="301">
        <v>230</v>
      </c>
      <c r="T55" s="3"/>
      <c r="U55" s="3"/>
      <c r="V55" s="300">
        <v>230</v>
      </c>
      <c r="W55" s="300">
        <v>200</v>
      </c>
      <c r="X55" s="300">
        <v>200</v>
      </c>
      <c r="Y55" s="301">
        <f t="shared" si="24"/>
        <v>230</v>
      </c>
      <c r="Z55" s="3"/>
      <c r="AA55" s="3"/>
      <c r="AB55" s="3"/>
      <c r="AC55" s="3"/>
      <c r="AD55" s="3"/>
    </row>
    <row r="56" spans="1:30" ht="10.5" customHeight="1" x14ac:dyDescent="0.25">
      <c r="A56" s="3"/>
      <c r="B56" s="294"/>
      <c r="C56" s="282"/>
      <c r="D56" s="284"/>
      <c r="E56" s="284"/>
      <c r="F56" s="284"/>
      <c r="G56" s="284"/>
      <c r="H56" s="28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3"/>
      <c r="B57" s="294"/>
      <c r="C57" s="297" t="s">
        <v>98</v>
      </c>
      <c r="D57" s="298" t="s">
        <v>99</v>
      </c>
      <c r="E57" s="298" t="s">
        <v>100</v>
      </c>
      <c r="F57" s="284"/>
      <c r="G57" s="284"/>
      <c r="H57" s="284"/>
      <c r="I57" s="287"/>
      <c r="J57" s="298" t="s">
        <v>101</v>
      </c>
      <c r="K57" s="284"/>
      <c r="L57" s="284"/>
      <c r="M57" s="284"/>
      <c r="N57" s="284"/>
      <c r="O57" s="287"/>
      <c r="P57" s="298" t="s">
        <v>102</v>
      </c>
      <c r="Q57" s="287"/>
      <c r="R57" s="287"/>
      <c r="S57" s="3"/>
      <c r="T57" s="3"/>
      <c r="U57" s="3"/>
      <c r="V57" s="737" t="s">
        <v>98</v>
      </c>
      <c r="W57" s="737"/>
      <c r="X57" s="737"/>
      <c r="Y57" s="298" t="s">
        <v>101</v>
      </c>
      <c r="Z57" s="3"/>
      <c r="AA57" s="3"/>
      <c r="AB57" s="3"/>
      <c r="AC57" s="3"/>
      <c r="AD57" s="3"/>
    </row>
    <row r="58" spans="1:30" x14ac:dyDescent="0.25">
      <c r="A58" s="3"/>
      <c r="B58" s="294"/>
      <c r="C58" s="467" t="s">
        <v>128</v>
      </c>
      <c r="D58" s="468">
        <v>29</v>
      </c>
      <c r="E58" s="468">
        <v>29</v>
      </c>
      <c r="F58" s="284"/>
      <c r="G58" s="284"/>
      <c r="H58" s="284"/>
      <c r="I58" s="287"/>
      <c r="J58" s="303">
        <v>28</v>
      </c>
      <c r="K58" s="284"/>
      <c r="L58" s="284"/>
      <c r="M58" s="284"/>
      <c r="N58" s="284"/>
      <c r="O58" s="287"/>
      <c r="P58" s="303">
        <v>29.2</v>
      </c>
      <c r="Q58" s="287"/>
      <c r="R58" s="287"/>
      <c r="S58" s="3"/>
      <c r="T58" s="3"/>
      <c r="U58" s="3"/>
      <c r="V58" s="728" t="s">
        <v>128</v>
      </c>
      <c r="W58" s="728"/>
      <c r="X58" s="728"/>
      <c r="Y58" s="303">
        <v>30</v>
      </c>
      <c r="Z58" s="3"/>
      <c r="AA58" s="3"/>
      <c r="AB58" s="3"/>
      <c r="AC58" s="3"/>
      <c r="AD58" s="3"/>
    </row>
    <row r="59" spans="1:30" x14ac:dyDescent="0.25">
      <c r="A59" s="3"/>
      <c r="B59" s="294"/>
      <c r="C59" s="469"/>
      <c r="D59" s="470"/>
      <c r="E59" s="470"/>
      <c r="F59" s="284"/>
      <c r="G59" s="284"/>
      <c r="H59" s="284"/>
      <c r="I59" s="287"/>
      <c r="J59" s="291"/>
      <c r="K59" s="284"/>
      <c r="L59" s="284"/>
      <c r="M59" s="284"/>
      <c r="N59" s="284"/>
      <c r="O59" s="287"/>
      <c r="P59" s="291"/>
      <c r="Q59" s="287"/>
      <c r="R59" s="287"/>
      <c r="S59" s="3"/>
      <c r="T59" s="3"/>
      <c r="U59" s="3"/>
      <c r="V59" s="728" t="s">
        <v>129</v>
      </c>
      <c r="W59" s="728"/>
      <c r="X59" s="728"/>
      <c r="Y59" s="303">
        <v>4</v>
      </c>
      <c r="Z59" s="3"/>
      <c r="AA59" s="3"/>
      <c r="AB59" s="3"/>
      <c r="AC59" s="3"/>
      <c r="AD59" s="3"/>
    </row>
    <row r="60" spans="1:30" s="3" customFormat="1" x14ac:dyDescent="0.25">
      <c r="B60" s="294"/>
      <c r="C60" s="282"/>
      <c r="D60" s="291"/>
      <c r="E60" s="291"/>
      <c r="F60" s="284"/>
      <c r="G60" s="284"/>
      <c r="H60" s="284"/>
      <c r="I60" s="287"/>
      <c r="J60" s="291"/>
      <c r="K60" s="284"/>
      <c r="L60" s="284"/>
      <c r="M60" s="284"/>
      <c r="N60" s="284"/>
      <c r="O60" s="287"/>
      <c r="P60" s="291"/>
      <c r="Q60" s="287"/>
      <c r="R60" s="287"/>
      <c r="S60" s="287"/>
      <c r="T60" s="287"/>
      <c r="U60" s="287"/>
      <c r="V60" s="291"/>
    </row>
    <row r="61" spans="1:30" x14ac:dyDescent="0.25">
      <c r="A61" s="3"/>
      <c r="B61" s="294"/>
      <c r="C61" s="282"/>
      <c r="D61" s="729"/>
      <c r="E61" s="729"/>
      <c r="F61" s="284"/>
      <c r="G61" s="284"/>
      <c r="H61" s="284"/>
      <c r="I61" s="287"/>
      <c r="J61" s="471"/>
      <c r="K61" s="284"/>
      <c r="L61" s="284"/>
      <c r="M61" s="284"/>
      <c r="N61" s="284"/>
      <c r="O61" s="287"/>
      <c r="P61" s="471"/>
      <c r="Q61" s="287"/>
      <c r="R61" s="287"/>
      <c r="S61" s="287"/>
      <c r="T61" s="287"/>
      <c r="U61" s="287"/>
      <c r="V61" s="730" t="s">
        <v>130</v>
      </c>
      <c r="W61" s="731"/>
      <c r="X61" s="732"/>
      <c r="Y61" s="303">
        <v>1803</v>
      </c>
      <c r="Z61" s="3"/>
      <c r="AA61" s="3"/>
      <c r="AB61" s="3"/>
      <c r="AC61" s="3"/>
      <c r="AD61" s="3"/>
    </row>
    <row r="62" spans="1:30" x14ac:dyDescent="0.25">
      <c r="A62" s="3"/>
      <c r="B62" s="294"/>
      <c r="C62" s="282"/>
      <c r="D62" s="471"/>
      <c r="E62" s="471"/>
      <c r="F62" s="284"/>
      <c r="G62" s="284"/>
      <c r="H62" s="284"/>
      <c r="I62" s="287"/>
      <c r="J62" s="471"/>
      <c r="K62" s="284"/>
      <c r="L62" s="284"/>
      <c r="M62" s="284"/>
      <c r="N62" s="284"/>
      <c r="O62" s="287"/>
      <c r="P62" s="471"/>
      <c r="Q62" s="287"/>
      <c r="R62" s="287"/>
      <c r="S62" s="287"/>
      <c r="T62" s="287"/>
      <c r="U62" s="287"/>
      <c r="V62" s="730" t="s">
        <v>167</v>
      </c>
      <c r="W62" s="731"/>
      <c r="X62" s="732"/>
      <c r="Y62" s="303">
        <v>200</v>
      </c>
      <c r="Z62" s="472"/>
      <c r="AA62" s="3"/>
      <c r="AB62" s="3"/>
      <c r="AC62" s="3"/>
      <c r="AD62" s="3"/>
    </row>
    <row r="63" spans="1:30" x14ac:dyDescent="0.25">
      <c r="A63" s="3"/>
      <c r="B63" s="294"/>
      <c r="C63" s="282"/>
      <c r="D63" s="471"/>
      <c r="E63" s="471"/>
      <c r="F63" s="284"/>
      <c r="G63" s="284"/>
      <c r="H63" s="284"/>
      <c r="I63" s="287"/>
      <c r="J63" s="471"/>
      <c r="K63" s="284"/>
      <c r="L63" s="284"/>
      <c r="M63" s="284"/>
      <c r="N63" s="284"/>
      <c r="O63" s="287"/>
      <c r="P63" s="471"/>
      <c r="Q63" s="287"/>
      <c r="R63" s="287"/>
      <c r="S63" s="287"/>
      <c r="T63" s="287"/>
      <c r="U63" s="287"/>
      <c r="V63" s="733" t="s">
        <v>229</v>
      </c>
      <c r="W63" s="734"/>
      <c r="X63" s="735"/>
      <c r="Y63" s="473">
        <v>2003</v>
      </c>
      <c r="Z63" s="472"/>
      <c r="AA63" s="3"/>
      <c r="AB63" s="3"/>
      <c r="AC63" s="3"/>
      <c r="AD63" s="3"/>
    </row>
    <row r="64" spans="1:30" s="3" customFormat="1" x14ac:dyDescent="0.25">
      <c r="B64" s="294"/>
      <c r="C64" s="282"/>
      <c r="D64" s="471"/>
      <c r="E64" s="471"/>
      <c r="F64" s="284"/>
      <c r="G64" s="284"/>
      <c r="H64" s="284"/>
      <c r="I64" s="287"/>
      <c r="J64" s="471"/>
      <c r="K64" s="284"/>
      <c r="L64" s="284"/>
      <c r="M64" s="284"/>
      <c r="N64" s="284"/>
      <c r="O64" s="287"/>
      <c r="P64" s="471"/>
      <c r="Q64" s="287"/>
      <c r="R64" s="287"/>
      <c r="S64" s="287"/>
      <c r="T64" s="287"/>
      <c r="U64" s="287"/>
      <c r="V64" s="291"/>
    </row>
    <row r="65" spans="1:30" x14ac:dyDescent="0.25">
      <c r="A65" s="3"/>
      <c r="B65" s="294"/>
      <c r="C65" s="3"/>
      <c r="D65" s="3"/>
      <c r="E65" s="3"/>
      <c r="F65" s="283"/>
      <c r="G65" s="284"/>
      <c r="H65" s="284"/>
      <c r="I65" s="287"/>
      <c r="J65" s="471"/>
      <c r="K65" s="471"/>
      <c r="L65" s="3"/>
      <c r="M65" s="172"/>
      <c r="N65" s="3"/>
      <c r="O65" s="3"/>
      <c r="P65" s="3"/>
      <c r="Q65" s="283"/>
      <c r="R65" s="3"/>
      <c r="S65" s="3"/>
      <c r="T65" s="3"/>
      <c r="U65" s="736" t="s">
        <v>131</v>
      </c>
      <c r="V65" s="736"/>
      <c r="W65" s="736"/>
      <c r="X65" s="736"/>
      <c r="Y65" s="474" t="s">
        <v>132</v>
      </c>
      <c r="Z65" s="3"/>
      <c r="AA65" s="378" t="s">
        <v>133</v>
      </c>
      <c r="AB65" s="379"/>
      <c r="AC65" s="3"/>
    </row>
    <row r="66" spans="1:30" x14ac:dyDescent="0.25">
      <c r="A66" s="3"/>
      <c r="B66" s="294"/>
      <c r="C66" s="3"/>
      <c r="D66" s="3"/>
      <c r="E66" s="3"/>
      <c r="F66" s="284"/>
      <c r="G66" s="284"/>
      <c r="H66" s="284"/>
      <c r="I66" s="287"/>
      <c r="J66" s="471"/>
      <c r="K66" s="471"/>
      <c r="L66" s="3"/>
      <c r="M66" s="172"/>
      <c r="N66" s="3"/>
      <c r="O66" s="3"/>
      <c r="P66" s="3"/>
      <c r="Q66" s="284"/>
      <c r="R66" s="3"/>
      <c r="S66" s="3"/>
      <c r="T66" s="3"/>
      <c r="U66" s="728" t="s">
        <v>134</v>
      </c>
      <c r="V66" s="728"/>
      <c r="W66" s="728"/>
      <c r="X66" s="728"/>
      <c r="Y66" s="474">
        <f>1497.66+AB68</f>
        <v>1712.9760000000001</v>
      </c>
      <c r="Z66" s="3"/>
      <c r="AA66" s="475" t="s">
        <v>135</v>
      </c>
      <c r="AB66" s="476">
        <v>256.8</v>
      </c>
      <c r="AC66" s="3"/>
    </row>
    <row r="67" spans="1:30" x14ac:dyDescent="0.25">
      <c r="A67" s="3"/>
      <c r="B67" s="294"/>
      <c r="C67" s="3"/>
      <c r="D67" s="3"/>
      <c r="E67" s="3"/>
      <c r="F67" s="284"/>
      <c r="G67" s="284"/>
      <c r="H67" s="284"/>
      <c r="I67" s="287"/>
      <c r="J67" s="471"/>
      <c r="K67" s="471"/>
      <c r="L67" s="3"/>
      <c r="M67" s="172"/>
      <c r="N67" s="3"/>
      <c r="O67" s="3"/>
      <c r="P67" s="3"/>
      <c r="Q67" s="284"/>
      <c r="R67" s="3"/>
      <c r="S67" s="3"/>
      <c r="T67" s="3"/>
      <c r="U67" s="728" t="s">
        <v>136</v>
      </c>
      <c r="V67" s="728"/>
      <c r="W67" s="728"/>
      <c r="X67" s="728"/>
      <c r="Y67" s="474">
        <v>617.9</v>
      </c>
      <c r="Z67" s="3"/>
      <c r="AA67" s="475" t="s">
        <v>137</v>
      </c>
      <c r="AB67" s="476">
        <v>0</v>
      </c>
      <c r="AC67" s="3"/>
    </row>
    <row r="68" spans="1:30" x14ac:dyDescent="0.25">
      <c r="A68" s="3"/>
      <c r="B68" s="294"/>
      <c r="C68" s="3"/>
      <c r="D68" s="3"/>
      <c r="E68" s="3"/>
      <c r="F68" s="284"/>
      <c r="G68" s="284"/>
      <c r="H68" s="284"/>
      <c r="I68" s="287"/>
      <c r="J68" s="471"/>
      <c r="K68" s="471"/>
      <c r="L68" s="3"/>
      <c r="M68" s="172"/>
      <c r="N68" s="3"/>
      <c r="O68" s="3"/>
      <c r="P68" s="3"/>
      <c r="Q68" s="284"/>
      <c r="R68" s="3"/>
      <c r="S68" s="3"/>
      <c r="T68" s="3"/>
      <c r="U68" s="728" t="s">
        <v>230</v>
      </c>
      <c r="V68" s="728"/>
      <c r="W68" s="728"/>
      <c r="X68" s="728"/>
      <c r="Y68" s="474">
        <v>90</v>
      </c>
      <c r="Z68" s="3"/>
      <c r="AA68" s="475" t="s">
        <v>139</v>
      </c>
      <c r="AB68" s="476">
        <v>215.316</v>
      </c>
      <c r="AC68" s="3"/>
    </row>
    <row r="69" spans="1:30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172"/>
      <c r="N69" s="3"/>
      <c r="O69" s="3"/>
      <c r="P69" s="3"/>
      <c r="Q69" s="3"/>
      <c r="R69" s="3"/>
      <c r="S69" s="3"/>
      <c r="T69" s="3"/>
      <c r="U69" s="728" t="s">
        <v>140</v>
      </c>
      <c r="V69" s="728"/>
      <c r="W69" s="728"/>
      <c r="X69" s="728"/>
      <c r="Y69" s="380">
        <v>17.899999999999999</v>
      </c>
      <c r="Z69" s="472"/>
      <c r="AA69" s="3"/>
      <c r="AB69" s="3"/>
      <c r="AC69" s="3"/>
    </row>
    <row r="70" spans="1:30" x14ac:dyDescent="0.25">
      <c r="A70" s="3"/>
      <c r="B70" s="294"/>
      <c r="C70" s="3"/>
      <c r="D70" s="3"/>
      <c r="E70" s="3"/>
      <c r="F70" s="284"/>
      <c r="G70" s="284"/>
      <c r="H70" s="284"/>
      <c r="I70" s="287"/>
      <c r="J70" s="296"/>
      <c r="K70" s="296"/>
      <c r="L70" s="3"/>
      <c r="M70" s="172"/>
      <c r="N70" s="3"/>
      <c r="O70" s="3"/>
      <c r="P70" s="3"/>
      <c r="Q70" s="284"/>
      <c r="R70" s="3"/>
      <c r="S70" s="3"/>
      <c r="T70" s="3"/>
      <c r="U70" s="728" t="s">
        <v>141</v>
      </c>
      <c r="V70" s="728"/>
      <c r="W70" s="728"/>
      <c r="X70" s="728"/>
      <c r="Y70" s="477">
        <f>SUM(Y71:Y74)</f>
        <v>172</v>
      </c>
      <c r="Z70" s="3"/>
      <c r="AA70" s="3"/>
      <c r="AB70" s="3"/>
      <c r="AC70" s="3"/>
    </row>
    <row r="71" spans="1:30" x14ac:dyDescent="0.25">
      <c r="A71" s="3"/>
      <c r="B71" s="294"/>
      <c r="C71" s="3"/>
      <c r="D71" s="3"/>
      <c r="E71" s="3"/>
      <c r="F71" s="284"/>
      <c r="G71" s="284"/>
      <c r="H71" s="284"/>
      <c r="I71" s="287"/>
      <c r="J71" s="471"/>
      <c r="K71" s="471"/>
      <c r="L71" s="3"/>
      <c r="M71" s="172"/>
      <c r="N71" s="3"/>
      <c r="O71" s="3"/>
      <c r="P71" s="3"/>
      <c r="Q71" s="284"/>
      <c r="R71" s="3"/>
      <c r="S71" s="3"/>
      <c r="T71" s="3"/>
      <c r="U71" s="727" t="s">
        <v>142</v>
      </c>
      <c r="V71" s="727"/>
      <c r="W71" s="727"/>
      <c r="X71" s="727"/>
      <c r="Y71" s="380">
        <v>50</v>
      </c>
      <c r="Z71" s="3"/>
      <c r="AA71" s="3"/>
      <c r="AB71" s="3"/>
      <c r="AC71" s="3"/>
    </row>
    <row r="72" spans="1:30" x14ac:dyDescent="0.25">
      <c r="A72" s="3"/>
      <c r="B72" s="294"/>
      <c r="C72" s="3"/>
      <c r="D72" s="3"/>
      <c r="E72" s="3"/>
      <c r="F72" s="284"/>
      <c r="G72" s="284"/>
      <c r="H72" s="284"/>
      <c r="I72" s="287"/>
      <c r="J72" s="471"/>
      <c r="K72" s="471"/>
      <c r="L72" s="3"/>
      <c r="M72" s="172"/>
      <c r="N72" s="3"/>
      <c r="O72" s="3"/>
      <c r="P72" s="3"/>
      <c r="Q72" s="284"/>
      <c r="R72" s="3"/>
      <c r="S72" s="3"/>
      <c r="T72" s="3"/>
      <c r="U72" s="727" t="s">
        <v>143</v>
      </c>
      <c r="V72" s="727"/>
      <c r="W72" s="727"/>
      <c r="X72" s="727"/>
      <c r="Y72" s="474">
        <v>40</v>
      </c>
      <c r="Z72" s="3"/>
      <c r="AA72" s="3"/>
      <c r="AB72" s="3"/>
      <c r="AC72" s="3"/>
    </row>
    <row r="73" spans="1:30" x14ac:dyDescent="0.25">
      <c r="A73" s="3"/>
      <c r="B73" s="294"/>
      <c r="C73" s="3"/>
      <c r="D73" s="3"/>
      <c r="E73" s="3"/>
      <c r="F73" s="284"/>
      <c r="G73" s="284"/>
      <c r="H73" s="284"/>
      <c r="I73" s="287"/>
      <c r="J73" s="471"/>
      <c r="K73" s="471"/>
      <c r="L73" s="3"/>
      <c r="M73" s="172"/>
      <c r="N73" s="3"/>
      <c r="O73" s="3"/>
      <c r="P73" s="3"/>
      <c r="Q73" s="284"/>
      <c r="R73" s="3"/>
      <c r="S73" s="3"/>
      <c r="T73" s="3"/>
      <c r="U73" s="727" t="s">
        <v>144</v>
      </c>
      <c r="V73" s="727"/>
      <c r="W73" s="727"/>
      <c r="X73" s="727"/>
      <c r="Y73" s="380">
        <v>0</v>
      </c>
      <c r="Z73" s="3"/>
      <c r="AA73" s="3"/>
      <c r="AB73" s="3"/>
      <c r="AC73" s="3"/>
    </row>
    <row r="74" spans="1:30" x14ac:dyDescent="0.25">
      <c r="A74" s="3"/>
      <c r="B74" s="294"/>
      <c r="C74" s="3"/>
      <c r="D74" s="3"/>
      <c r="E74" s="3"/>
      <c r="F74" s="284"/>
      <c r="G74" s="284"/>
      <c r="H74" s="284"/>
      <c r="I74" s="287"/>
      <c r="J74" s="471"/>
      <c r="K74" s="471"/>
      <c r="L74" s="3"/>
      <c r="M74" s="172"/>
      <c r="N74" s="3"/>
      <c r="O74" s="3"/>
      <c r="P74" s="3"/>
      <c r="Q74" s="284"/>
      <c r="R74" s="3"/>
      <c r="S74" s="3"/>
      <c r="T74" s="3"/>
      <c r="U74" s="727" t="s">
        <v>145</v>
      </c>
      <c r="V74" s="727"/>
      <c r="W74" s="727"/>
      <c r="X74" s="727"/>
      <c r="Y74" s="380">
        <v>82</v>
      </c>
      <c r="Z74" s="3"/>
      <c r="AA74" s="3"/>
      <c r="AB74" s="3"/>
      <c r="AC74" s="3"/>
    </row>
    <row r="75" spans="1:30" x14ac:dyDescent="0.25">
      <c r="A75" s="3"/>
      <c r="B75" s="294"/>
      <c r="C75" s="478"/>
      <c r="D75" s="284"/>
      <c r="E75" s="284"/>
      <c r="F75" s="284"/>
      <c r="G75" s="284"/>
      <c r="H75" s="284"/>
      <c r="I75" s="287"/>
      <c r="J75" s="284"/>
      <c r="K75" s="284"/>
      <c r="L75" s="3"/>
      <c r="M75" s="172"/>
      <c r="N75" s="3"/>
      <c r="O75" s="3"/>
      <c r="P75" s="3"/>
      <c r="Q75" s="384"/>
      <c r="R75" s="3"/>
      <c r="S75" s="3"/>
      <c r="T75" s="3"/>
      <c r="U75" s="287"/>
      <c r="V75" s="287"/>
      <c r="W75" s="287"/>
      <c r="X75" s="284"/>
      <c r="Y75" s="284">
        <f>SUM(Y66:Y70)</f>
        <v>2610.7760000000003</v>
      </c>
      <c r="Z75" s="3"/>
      <c r="AA75" s="3"/>
      <c r="AB75" s="3"/>
      <c r="AC75" s="3"/>
    </row>
    <row r="76" spans="1:30" x14ac:dyDescent="0.25">
      <c r="A76" s="3"/>
      <c r="B76" s="294"/>
      <c r="C76" s="282"/>
      <c r="D76" s="284"/>
      <c r="E76" s="284"/>
      <c r="F76" s="284"/>
      <c r="G76" s="284"/>
      <c r="H76" s="284"/>
      <c r="I76" s="287"/>
      <c r="J76" s="284"/>
      <c r="K76" s="284"/>
      <c r="L76" s="284"/>
      <c r="M76" s="284"/>
      <c r="N76" s="284"/>
      <c r="O76" s="287"/>
      <c r="P76" s="284"/>
      <c r="Q76" s="284"/>
      <c r="R76" s="284"/>
      <c r="S76" s="287"/>
      <c r="T76" s="287"/>
      <c r="U76" s="287"/>
      <c r="V76" s="284"/>
      <c r="W76" s="284"/>
      <c r="X76" s="284"/>
      <c r="Y76" s="3"/>
      <c r="Z76" s="3"/>
      <c r="AA76" s="3"/>
      <c r="AB76" s="3"/>
      <c r="AC76" s="3"/>
      <c r="AD76" s="3"/>
    </row>
    <row r="77" spans="1:30" x14ac:dyDescent="0.25">
      <c r="A77" s="3"/>
      <c r="B77" s="304" t="s">
        <v>103</v>
      </c>
      <c r="C77" s="305"/>
      <c r="D77" s="644"/>
      <c r="E77" s="644"/>
      <c r="F77" s="644"/>
      <c r="G77" s="644"/>
      <c r="H77" s="644"/>
      <c r="I77" s="644"/>
      <c r="J77" s="644"/>
      <c r="K77" s="644"/>
      <c r="L77" s="644"/>
      <c r="M77" s="644"/>
      <c r="N77" s="644"/>
      <c r="O77" s="644"/>
      <c r="P77" s="644"/>
      <c r="Q77" s="644"/>
      <c r="R77" s="644"/>
      <c r="S77" s="644"/>
      <c r="T77" s="644"/>
      <c r="U77" s="644"/>
      <c r="V77" s="306"/>
      <c r="W77" s="306"/>
      <c r="X77" s="306"/>
      <c r="Y77" s="306"/>
      <c r="Z77" s="306"/>
      <c r="AA77" s="306"/>
      <c r="AB77" s="307"/>
      <c r="AC77" s="3"/>
      <c r="AD77" s="3"/>
    </row>
    <row r="78" spans="1:30" x14ac:dyDescent="0.25">
      <c r="A78" s="3"/>
      <c r="B78" s="308"/>
      <c r="M78"/>
      <c r="AB78" s="309"/>
      <c r="AC78" s="3"/>
      <c r="AD78" s="3"/>
    </row>
    <row r="79" spans="1:30" x14ac:dyDescent="0.25">
      <c r="A79" s="3"/>
      <c r="B79" s="634" t="s">
        <v>231</v>
      </c>
      <c r="C79" s="635"/>
      <c r="D79" s="635"/>
      <c r="E79" s="635"/>
      <c r="F79" s="635"/>
      <c r="G79" s="635"/>
      <c r="H79" s="635"/>
      <c r="I79" s="635"/>
      <c r="J79" s="635"/>
      <c r="K79" s="635"/>
      <c r="L79" s="635"/>
      <c r="M79" s="635"/>
      <c r="N79" s="635"/>
      <c r="O79" s="635"/>
      <c r="P79" s="635"/>
      <c r="Q79" s="635"/>
      <c r="R79" s="635"/>
      <c r="S79" s="635"/>
      <c r="T79" s="635"/>
      <c r="U79" s="635"/>
      <c r="AB79" s="309"/>
      <c r="AC79" s="3"/>
      <c r="AD79" s="3"/>
    </row>
    <row r="80" spans="1:30" x14ac:dyDescent="0.25">
      <c r="A80" s="3"/>
      <c r="B80" s="634" t="s">
        <v>232</v>
      </c>
      <c r="C80" s="635"/>
      <c r="D80" s="635"/>
      <c r="E80" s="635"/>
      <c r="F80" s="635"/>
      <c r="G80" s="635"/>
      <c r="H80" s="635"/>
      <c r="I80" s="635"/>
      <c r="J80" s="635"/>
      <c r="K80" s="635"/>
      <c r="L80" s="635"/>
      <c r="M80" s="635"/>
      <c r="N80" s="635"/>
      <c r="O80" s="635"/>
      <c r="P80" s="635"/>
      <c r="Q80" s="635"/>
      <c r="R80" s="635"/>
      <c r="S80" s="635"/>
      <c r="T80" s="635"/>
      <c r="U80" s="635"/>
      <c r="AB80" s="309"/>
      <c r="AC80" s="3"/>
      <c r="AD80" s="3"/>
    </row>
    <row r="81" spans="1:30" x14ac:dyDescent="0.25">
      <c r="A81" s="3"/>
      <c r="B81" s="634" t="s">
        <v>233</v>
      </c>
      <c r="C81" s="635"/>
      <c r="D81" s="635"/>
      <c r="E81" s="635"/>
      <c r="F81" s="635"/>
      <c r="G81" s="635"/>
      <c r="H81" s="635"/>
      <c r="I81" s="635"/>
      <c r="J81" s="635"/>
      <c r="K81" s="635"/>
      <c r="L81" s="635"/>
      <c r="M81" s="635"/>
      <c r="N81" s="635"/>
      <c r="O81" s="635"/>
      <c r="P81" s="635"/>
      <c r="Q81" s="635"/>
      <c r="R81" s="635"/>
      <c r="S81" s="635"/>
      <c r="T81" s="635"/>
      <c r="U81" s="635"/>
      <c r="AB81" s="309"/>
      <c r="AC81" s="3"/>
      <c r="AD81" s="3"/>
    </row>
    <row r="82" spans="1:30" x14ac:dyDescent="0.25">
      <c r="A82" s="3"/>
      <c r="B82" s="310" t="s">
        <v>234</v>
      </c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AB82" s="309"/>
      <c r="AC82" s="3"/>
      <c r="AD82" s="3"/>
    </row>
    <row r="83" spans="1:30" x14ac:dyDescent="0.25">
      <c r="A83" s="3"/>
      <c r="B83" s="310" t="s">
        <v>235</v>
      </c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AB83" s="309"/>
      <c r="AC83" s="3"/>
      <c r="AD83" s="3"/>
    </row>
    <row r="84" spans="1:30" x14ac:dyDescent="0.25">
      <c r="A84" s="3"/>
      <c r="B84" s="310" t="s">
        <v>236</v>
      </c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AB84" s="309"/>
      <c r="AC84" s="3"/>
      <c r="AD84" s="3"/>
    </row>
    <row r="85" spans="1:30" x14ac:dyDescent="0.25">
      <c r="A85" s="3"/>
      <c r="B85" s="310" t="s">
        <v>237</v>
      </c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AB85" s="309"/>
      <c r="AC85" s="3"/>
      <c r="AD85" s="3"/>
    </row>
    <row r="86" spans="1:30" x14ac:dyDescent="0.25">
      <c r="A86" s="3"/>
      <c r="B86" s="310" t="s">
        <v>238</v>
      </c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AB86" s="309"/>
      <c r="AC86" s="3"/>
      <c r="AD86" s="3"/>
    </row>
    <row r="87" spans="1:30" x14ac:dyDescent="0.25">
      <c r="A87" s="3"/>
      <c r="B87" s="310" t="s">
        <v>239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AB87" s="309"/>
      <c r="AC87" s="3"/>
      <c r="AD87" s="3"/>
    </row>
    <row r="88" spans="1:30" x14ac:dyDescent="0.25">
      <c r="A88" s="3"/>
      <c r="B88" s="310" t="s">
        <v>240</v>
      </c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AB88" s="309"/>
      <c r="AC88" s="3"/>
      <c r="AD88" s="3"/>
    </row>
    <row r="89" spans="1:30" x14ac:dyDescent="0.25">
      <c r="A89" s="3"/>
      <c r="B89" s="310" t="s">
        <v>241</v>
      </c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AB89" s="309"/>
      <c r="AC89" s="3"/>
      <c r="AD89" s="3"/>
    </row>
    <row r="90" spans="1:30" x14ac:dyDescent="0.25">
      <c r="A90" s="3"/>
      <c r="B90" s="310" t="s">
        <v>242</v>
      </c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AB90" s="309"/>
      <c r="AC90" s="3"/>
      <c r="AD90" s="3"/>
    </row>
    <row r="91" spans="1:30" x14ac:dyDescent="0.25">
      <c r="A91" s="3"/>
      <c r="B91" s="310" t="s">
        <v>243</v>
      </c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AB91" s="309"/>
      <c r="AC91" s="3"/>
      <c r="AD91" s="3"/>
    </row>
    <row r="92" spans="1:30" x14ac:dyDescent="0.25">
      <c r="A92" s="3"/>
      <c r="B92" s="310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AB92" s="309"/>
      <c r="AC92" s="3"/>
      <c r="AD92" s="3"/>
    </row>
    <row r="93" spans="1:30" x14ac:dyDescent="0.25">
      <c r="A93" s="3"/>
      <c r="B93" s="310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AB93" s="309"/>
      <c r="AC93" s="3"/>
      <c r="AD93" s="3"/>
    </row>
    <row r="94" spans="1:30" x14ac:dyDescent="0.25">
      <c r="A94" s="3"/>
      <c r="B94" s="314"/>
      <c r="C94" s="315"/>
      <c r="D94" s="316"/>
      <c r="E94" s="316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8"/>
      <c r="W94" s="318"/>
      <c r="X94" s="318"/>
      <c r="Y94" s="318"/>
      <c r="Z94" s="318"/>
      <c r="AA94" s="318"/>
      <c r="AB94" s="319"/>
      <c r="AC94" s="3"/>
      <c r="AD94" s="3"/>
    </row>
    <row r="95" spans="1:30" x14ac:dyDescent="0.25">
      <c r="A95" s="3"/>
      <c r="B95" s="320"/>
      <c r="C95" s="321"/>
      <c r="D95" s="320"/>
      <c r="E95" s="320"/>
      <c r="F95" s="322"/>
      <c r="G95" s="322"/>
      <c r="H95" s="322"/>
      <c r="I95" s="322"/>
      <c r="J95" s="322"/>
      <c r="K95" s="322"/>
      <c r="L95" s="322"/>
      <c r="M95" s="322"/>
      <c r="N95" s="322"/>
      <c r="O95" s="322"/>
      <c r="P95" s="322"/>
      <c r="Q95" s="322"/>
      <c r="R95" s="322"/>
      <c r="S95" s="322"/>
      <c r="T95" s="322"/>
      <c r="U95" s="322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3"/>
      <c r="B96" s="320"/>
      <c r="C96" s="321"/>
      <c r="D96" s="320"/>
      <c r="E96" s="320"/>
      <c r="F96" s="322"/>
      <c r="G96" s="322"/>
      <c r="H96" s="322"/>
      <c r="I96" s="322"/>
      <c r="J96" s="322"/>
      <c r="K96" s="322"/>
      <c r="L96" s="322"/>
      <c r="M96" s="322"/>
      <c r="N96" s="322"/>
      <c r="O96" s="322"/>
      <c r="P96" s="322"/>
      <c r="Q96" s="322"/>
      <c r="R96" s="322"/>
      <c r="S96" s="322"/>
      <c r="T96" s="322"/>
      <c r="U96" s="322"/>
      <c r="V96" s="3"/>
      <c r="W96" s="3"/>
      <c r="X96" s="3"/>
      <c r="Y96" s="3"/>
      <c r="Z96" s="3"/>
      <c r="AA96" s="3"/>
      <c r="AB96" s="3"/>
      <c r="AC96" s="3"/>
      <c r="AD96" s="3"/>
    </row>
    <row r="97" spans="1:30" x14ac:dyDescent="0.25">
      <c r="A97" s="3"/>
      <c r="B97" s="323"/>
      <c r="C97" s="323"/>
      <c r="D97" s="323"/>
      <c r="E97" s="323"/>
      <c r="F97" s="323"/>
      <c r="G97" s="323"/>
      <c r="H97" s="323"/>
      <c r="I97" s="323"/>
      <c r="J97" s="323"/>
      <c r="K97" s="323"/>
      <c r="L97" s="323"/>
      <c r="M97" s="323"/>
      <c r="N97" s="323"/>
      <c r="O97" s="323"/>
      <c r="P97" s="323"/>
      <c r="Q97" s="323"/>
      <c r="R97" s="323"/>
      <c r="S97" s="323"/>
      <c r="T97" s="323"/>
      <c r="U97" s="323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3"/>
      <c r="B98" s="323" t="s">
        <v>104</v>
      </c>
      <c r="C98" s="324">
        <v>45866</v>
      </c>
      <c r="D98" s="323" t="s">
        <v>105</v>
      </c>
      <c r="E98" s="635" t="s">
        <v>244</v>
      </c>
      <c r="F98" s="635"/>
      <c r="G98" s="635"/>
      <c r="H98" s="323"/>
      <c r="I98" s="323" t="s">
        <v>107</v>
      </c>
      <c r="J98" s="636" t="s">
        <v>245</v>
      </c>
      <c r="K98" s="636"/>
      <c r="L98" s="636"/>
      <c r="M98" s="636"/>
      <c r="N98" s="323"/>
      <c r="O98" s="323"/>
      <c r="P98" s="323"/>
      <c r="Q98" s="323"/>
      <c r="R98" s="323"/>
      <c r="S98" s="323"/>
      <c r="T98" s="323"/>
      <c r="U98" s="323"/>
      <c r="V98" s="3"/>
      <c r="W98" s="3"/>
      <c r="X98" s="3"/>
      <c r="Y98" s="3"/>
      <c r="Z98" s="3"/>
      <c r="AA98" s="3"/>
      <c r="AB98" s="3"/>
      <c r="AC98" s="3"/>
      <c r="AD98" s="3"/>
    </row>
    <row r="99" spans="1:30" ht="7.5" customHeight="1" x14ac:dyDescent="0.25">
      <c r="A99" s="3"/>
      <c r="B99" s="323"/>
      <c r="C99" s="323"/>
      <c r="D99" s="323"/>
      <c r="E99" s="323"/>
      <c r="F99" s="323"/>
      <c r="G99" s="323"/>
      <c r="H99" s="323"/>
      <c r="I99" s="323"/>
      <c r="J99" s="323"/>
      <c r="K99" s="323"/>
      <c r="L99" s="323"/>
      <c r="M99" s="323"/>
      <c r="N99" s="323"/>
      <c r="O99" s="323"/>
      <c r="P99" s="323"/>
      <c r="Q99" s="323"/>
      <c r="R99" s="323"/>
      <c r="S99" s="323"/>
      <c r="T99" s="323"/>
      <c r="U99" s="323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3"/>
      <c r="B100" s="323"/>
      <c r="C100" s="323"/>
      <c r="D100" s="323" t="s">
        <v>109</v>
      </c>
      <c r="E100" s="325"/>
      <c r="F100" s="325"/>
      <c r="G100" s="325"/>
      <c r="H100" s="323"/>
      <c r="I100" s="323" t="s">
        <v>109</v>
      </c>
      <c r="J100" s="326"/>
      <c r="K100" s="326"/>
      <c r="L100" s="326"/>
      <c r="M100" s="326"/>
      <c r="N100" s="323"/>
      <c r="O100" s="323"/>
      <c r="P100" s="323"/>
      <c r="Q100" s="323"/>
      <c r="R100" s="323"/>
      <c r="S100" s="323"/>
      <c r="T100" s="323"/>
      <c r="U100" s="32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3"/>
      <c r="B101" s="323"/>
      <c r="C101" s="323"/>
      <c r="D101" s="323"/>
      <c r="E101" s="325"/>
      <c r="F101" s="325"/>
      <c r="G101" s="325"/>
      <c r="H101" s="323"/>
      <c r="I101" s="323"/>
      <c r="J101" s="326"/>
      <c r="K101" s="326"/>
      <c r="L101" s="326"/>
      <c r="M101" s="326"/>
      <c r="N101" s="323"/>
      <c r="O101" s="323"/>
      <c r="P101" s="323"/>
      <c r="Q101" s="323"/>
      <c r="R101" s="323"/>
      <c r="S101" s="323"/>
      <c r="T101" s="323"/>
      <c r="U101" s="32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x14ac:dyDescent="0.25">
      <c r="A102" s="3"/>
      <c r="B102" s="323"/>
      <c r="C102" s="323"/>
      <c r="D102" s="323"/>
      <c r="E102" s="323"/>
      <c r="F102" s="323"/>
      <c r="G102" s="323"/>
      <c r="H102" s="323"/>
      <c r="I102" s="323"/>
      <c r="J102" s="323"/>
      <c r="K102" s="323"/>
      <c r="L102" s="323"/>
      <c r="M102" s="323"/>
      <c r="N102" s="323"/>
      <c r="O102" s="323"/>
      <c r="P102" s="323"/>
      <c r="Q102" s="323"/>
      <c r="R102" s="323"/>
      <c r="S102" s="323"/>
      <c r="T102" s="323"/>
      <c r="U102" s="32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x14ac:dyDescent="0.25">
      <c r="A103" s="3"/>
      <c r="B103" s="323"/>
      <c r="C103" s="323"/>
      <c r="D103" s="323"/>
      <c r="E103" s="323"/>
      <c r="F103" s="323"/>
      <c r="G103" s="323"/>
      <c r="H103" s="323"/>
      <c r="I103" s="323"/>
      <c r="J103" s="323"/>
      <c r="K103" s="323"/>
      <c r="L103" s="323"/>
      <c r="M103" s="323"/>
      <c r="N103" s="323"/>
      <c r="O103" s="323"/>
      <c r="P103" s="323"/>
      <c r="Q103" s="323"/>
      <c r="R103" s="323"/>
      <c r="S103" s="323"/>
      <c r="T103" s="323"/>
      <c r="U103" s="323"/>
      <c r="V103" s="3"/>
      <c r="W103" s="3"/>
      <c r="X103" s="3"/>
      <c r="Y103" s="3"/>
      <c r="Z103" s="3"/>
      <c r="AA103" s="3"/>
      <c r="AB103" s="3"/>
      <c r="AC103" s="3"/>
      <c r="AD103" s="3"/>
    </row>
    <row r="120" ht="15" hidden="1" customHeight="1" x14ac:dyDescent="0.25"/>
    <row r="129" x14ac:dyDescent="0.25"/>
    <row r="130" x14ac:dyDescent="0.25"/>
    <row r="134" ht="15" hidden="1" customHeight="1" x14ac:dyDescent="0.25"/>
    <row r="135" ht="15" hidden="1" customHeight="1" x14ac:dyDescent="0.25"/>
  </sheetData>
  <mergeCells count="81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6:AB28"/>
    <mergeCell ref="J27:L27"/>
    <mergeCell ref="M27:M28"/>
    <mergeCell ref="N27:N28"/>
    <mergeCell ref="O27:O28"/>
    <mergeCell ref="AA13:AA14"/>
    <mergeCell ref="D26:I26"/>
    <mergeCell ref="J26:O26"/>
    <mergeCell ref="P26:U26"/>
    <mergeCell ref="V26:AA26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27:B28"/>
    <mergeCell ref="C27:C28"/>
    <mergeCell ref="D27:F27"/>
    <mergeCell ref="G27:G28"/>
    <mergeCell ref="H27:H28"/>
    <mergeCell ref="V58:X58"/>
    <mergeCell ref="P27:R27"/>
    <mergeCell ref="S27:S28"/>
    <mergeCell ref="T27:T28"/>
    <mergeCell ref="U27:U28"/>
    <mergeCell ref="V27:X27"/>
    <mergeCell ref="Z27:Z28"/>
    <mergeCell ref="AA27:AA28"/>
    <mergeCell ref="C44:C45"/>
    <mergeCell ref="C47:C48"/>
    <mergeCell ref="V57:X57"/>
    <mergeCell ref="Y27:Y28"/>
    <mergeCell ref="I27:I28"/>
    <mergeCell ref="U71:X71"/>
    <mergeCell ref="V59:X59"/>
    <mergeCell ref="D61:E61"/>
    <mergeCell ref="V61:X61"/>
    <mergeCell ref="V62:X62"/>
    <mergeCell ref="V63:X63"/>
    <mergeCell ref="U65:X65"/>
    <mergeCell ref="U66:X66"/>
    <mergeCell ref="U67:X67"/>
    <mergeCell ref="U68:X68"/>
    <mergeCell ref="U69:X69"/>
    <mergeCell ref="U70:X70"/>
    <mergeCell ref="B81:U81"/>
    <mergeCell ref="E98:G98"/>
    <mergeCell ref="J98:M98"/>
    <mergeCell ref="U72:X72"/>
    <mergeCell ref="U73:X73"/>
    <mergeCell ref="U74:X74"/>
    <mergeCell ref="D77:U77"/>
    <mergeCell ref="B79:U79"/>
    <mergeCell ref="B80:U80"/>
  </mergeCells>
  <conditionalFormatting sqref="AB15:AB26 AB29:AB42">
    <cfRule type="cellIs" dxfId="21" priority="1" operator="equal">
      <formula>0</formula>
    </cfRule>
    <cfRule type="containsErrors" dxfId="20" priority="2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FF0000"/>
    <pageSetUpPr fitToPage="1"/>
  </sheetPr>
  <dimension ref="A1:AD297"/>
  <sheetViews>
    <sheetView showGridLines="0" zoomScale="80" zoomScaleNormal="80" zoomScaleSheetLayoutView="80" workbookViewId="0">
      <selection activeCell="W37" sqref="W3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7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24" t="s">
        <v>246</v>
      </c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328">
        <v>46789791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7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5</v>
      </c>
      <c r="C8" s="1"/>
      <c r="D8" s="717" t="s">
        <v>247</v>
      </c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5"/>
      <c r="U8" s="625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626" t="s">
        <v>7</v>
      </c>
      <c r="C10" s="592" t="s">
        <v>8</v>
      </c>
      <c r="D10" s="631" t="s">
        <v>9</v>
      </c>
      <c r="E10" s="632"/>
      <c r="F10" s="632"/>
      <c r="G10" s="632"/>
      <c r="H10" s="632"/>
      <c r="I10" s="633"/>
      <c r="J10" s="631" t="s">
        <v>166</v>
      </c>
      <c r="K10" s="632"/>
      <c r="L10" s="632"/>
      <c r="M10" s="632"/>
      <c r="N10" s="632"/>
      <c r="O10" s="633"/>
      <c r="P10" s="631" t="s">
        <v>11</v>
      </c>
      <c r="Q10" s="632"/>
      <c r="R10" s="632"/>
      <c r="S10" s="632"/>
      <c r="T10" s="632"/>
      <c r="U10" s="633"/>
      <c r="V10" s="631" t="s">
        <v>12</v>
      </c>
      <c r="W10" s="632"/>
      <c r="X10" s="632"/>
      <c r="Y10" s="632"/>
      <c r="Z10" s="632"/>
      <c r="AA10" s="633"/>
      <c r="AB10" s="615" t="s">
        <v>225</v>
      </c>
      <c r="AC10" s="3"/>
      <c r="AD10" s="3"/>
    </row>
    <row r="11" spans="1:30" ht="30.75" customHeight="1" thickBot="1" x14ac:dyDescent="0.3">
      <c r="A11" s="1"/>
      <c r="B11" s="627"/>
      <c r="C11" s="593"/>
      <c r="D11" s="618" t="s">
        <v>14</v>
      </c>
      <c r="E11" s="619"/>
      <c r="F11" s="619"/>
      <c r="G11" s="620"/>
      <c r="H11" s="8" t="s">
        <v>15</v>
      </c>
      <c r="I11" s="8" t="s">
        <v>16</v>
      </c>
      <c r="J11" s="618" t="s">
        <v>14</v>
      </c>
      <c r="K11" s="619"/>
      <c r="L11" s="619"/>
      <c r="M11" s="620"/>
      <c r="N11" s="8" t="s">
        <v>15</v>
      </c>
      <c r="O11" s="8" t="s">
        <v>16</v>
      </c>
      <c r="P11" s="618" t="s">
        <v>14</v>
      </c>
      <c r="Q11" s="619"/>
      <c r="R11" s="619"/>
      <c r="S11" s="620"/>
      <c r="T11" s="8" t="s">
        <v>15</v>
      </c>
      <c r="U11" s="8" t="s">
        <v>16</v>
      </c>
      <c r="V11" s="618" t="s">
        <v>14</v>
      </c>
      <c r="W11" s="619"/>
      <c r="X11" s="619"/>
      <c r="Y11" s="620"/>
      <c r="Z11" s="8" t="s">
        <v>15</v>
      </c>
      <c r="AA11" s="8" t="s">
        <v>16</v>
      </c>
      <c r="AB11" s="616"/>
      <c r="AC11" s="3"/>
      <c r="AD11" s="3"/>
    </row>
    <row r="12" spans="1:30" ht="15.75" customHeight="1" thickBot="1" x14ac:dyDescent="0.3">
      <c r="A12" s="1"/>
      <c r="B12" s="627"/>
      <c r="C12" s="629"/>
      <c r="D12" s="621" t="s">
        <v>17</v>
      </c>
      <c r="E12" s="622"/>
      <c r="F12" s="622"/>
      <c r="G12" s="622"/>
      <c r="H12" s="622"/>
      <c r="I12" s="623"/>
      <c r="J12" s="621" t="s">
        <v>17</v>
      </c>
      <c r="K12" s="622"/>
      <c r="L12" s="622"/>
      <c r="M12" s="622"/>
      <c r="N12" s="622"/>
      <c r="O12" s="623"/>
      <c r="P12" s="621" t="s">
        <v>17</v>
      </c>
      <c r="Q12" s="622"/>
      <c r="R12" s="622"/>
      <c r="S12" s="622"/>
      <c r="T12" s="622"/>
      <c r="U12" s="623"/>
      <c r="V12" s="621" t="s">
        <v>17</v>
      </c>
      <c r="W12" s="622"/>
      <c r="X12" s="622"/>
      <c r="Y12" s="622"/>
      <c r="Z12" s="622"/>
      <c r="AA12" s="623"/>
      <c r="AB12" s="616"/>
      <c r="AC12" s="3"/>
      <c r="AD12" s="3"/>
    </row>
    <row r="13" spans="1:30" ht="15.75" customHeight="1" thickBot="1" x14ac:dyDescent="0.3">
      <c r="A13" s="1"/>
      <c r="B13" s="628"/>
      <c r="C13" s="630"/>
      <c r="D13" s="613" t="s">
        <v>18</v>
      </c>
      <c r="E13" s="614"/>
      <c r="F13" s="614"/>
      <c r="G13" s="609" t="s">
        <v>19</v>
      </c>
      <c r="H13" s="611" t="s">
        <v>20</v>
      </c>
      <c r="I13" s="594" t="s">
        <v>17</v>
      </c>
      <c r="J13" s="613" t="s">
        <v>18</v>
      </c>
      <c r="K13" s="614"/>
      <c r="L13" s="614"/>
      <c r="M13" s="609" t="s">
        <v>19</v>
      </c>
      <c r="N13" s="611" t="s">
        <v>20</v>
      </c>
      <c r="O13" s="594" t="s">
        <v>17</v>
      </c>
      <c r="P13" s="613" t="s">
        <v>18</v>
      </c>
      <c r="Q13" s="614"/>
      <c r="R13" s="614"/>
      <c r="S13" s="609" t="s">
        <v>19</v>
      </c>
      <c r="T13" s="611" t="s">
        <v>20</v>
      </c>
      <c r="U13" s="594" t="s">
        <v>17</v>
      </c>
      <c r="V13" s="613" t="s">
        <v>18</v>
      </c>
      <c r="W13" s="614"/>
      <c r="X13" s="614"/>
      <c r="Y13" s="609" t="s">
        <v>19</v>
      </c>
      <c r="Z13" s="611" t="s">
        <v>20</v>
      </c>
      <c r="AA13" s="594" t="s">
        <v>17</v>
      </c>
      <c r="AB13" s="616"/>
      <c r="AC13" s="3"/>
      <c r="AD13" s="3"/>
    </row>
    <row r="14" spans="1:30" ht="15.75" thickBot="1" x14ac:dyDescent="0.3">
      <c r="A14" s="1"/>
      <c r="B14" s="9"/>
      <c r="C14" s="10"/>
      <c r="D14" s="11" t="s">
        <v>21</v>
      </c>
      <c r="E14" s="12" t="s">
        <v>22</v>
      </c>
      <c r="F14" s="12" t="s">
        <v>23</v>
      </c>
      <c r="G14" s="610"/>
      <c r="H14" s="612"/>
      <c r="I14" s="595"/>
      <c r="J14" s="11" t="s">
        <v>21</v>
      </c>
      <c r="K14" s="12" t="s">
        <v>22</v>
      </c>
      <c r="L14" s="12" t="s">
        <v>23</v>
      </c>
      <c r="M14" s="610"/>
      <c r="N14" s="612"/>
      <c r="O14" s="595"/>
      <c r="P14" s="11" t="s">
        <v>21</v>
      </c>
      <c r="Q14" s="12" t="s">
        <v>22</v>
      </c>
      <c r="R14" s="12" t="s">
        <v>23</v>
      </c>
      <c r="S14" s="610"/>
      <c r="T14" s="612"/>
      <c r="U14" s="595"/>
      <c r="V14" s="11" t="s">
        <v>21</v>
      </c>
      <c r="W14" s="12" t="s">
        <v>22</v>
      </c>
      <c r="X14" s="12" t="s">
        <v>23</v>
      </c>
      <c r="Y14" s="610"/>
      <c r="Z14" s="612"/>
      <c r="AA14" s="595"/>
      <c r="AB14" s="617"/>
      <c r="AC14" s="3"/>
      <c r="AD14" s="3"/>
    </row>
    <row r="15" spans="1:30" x14ac:dyDescent="0.25">
      <c r="A15" s="1"/>
      <c r="B15" s="13" t="s">
        <v>24</v>
      </c>
      <c r="C15" s="14" t="s">
        <v>25</v>
      </c>
      <c r="D15" s="15"/>
      <c r="E15" s="16"/>
      <c r="F15" s="17">
        <v>1047.5</v>
      </c>
      <c r="G15" s="18">
        <f>SUM(D15:F15)</f>
        <v>1047.5</v>
      </c>
      <c r="H15" s="19">
        <v>84.3</v>
      </c>
      <c r="I15" s="20">
        <f>G15+H15</f>
        <v>1131.8</v>
      </c>
      <c r="J15" s="329"/>
      <c r="K15" s="330"/>
      <c r="L15" s="415">
        <v>700</v>
      </c>
      <c r="M15" s="331">
        <f t="shared" ref="M15:M24" si="0">SUM(J15:L15)</f>
        <v>700</v>
      </c>
      <c r="N15" s="332">
        <v>80</v>
      </c>
      <c r="O15" s="333">
        <f>M15+N15</f>
        <v>780</v>
      </c>
      <c r="P15" s="15"/>
      <c r="Q15" s="16"/>
      <c r="R15" s="334">
        <v>687.9</v>
      </c>
      <c r="S15" s="18">
        <f>SUM(P15:R15)</f>
        <v>687.9</v>
      </c>
      <c r="T15" s="19">
        <v>58.4</v>
      </c>
      <c r="U15" s="20">
        <f>S15+T15</f>
        <v>746.3</v>
      </c>
      <c r="V15" s="15"/>
      <c r="W15" s="16"/>
      <c r="X15" s="17">
        <v>800</v>
      </c>
      <c r="Y15" s="18">
        <f>SUM(V15:X15)</f>
        <v>800</v>
      </c>
      <c r="Z15" s="19">
        <v>80</v>
      </c>
      <c r="AA15" s="20">
        <f>Y15+Z15</f>
        <v>880</v>
      </c>
      <c r="AB15" s="21">
        <f>(AA15/O15)</f>
        <v>1.1282051282051282</v>
      </c>
      <c r="AC15" s="3"/>
      <c r="AD15" s="3"/>
    </row>
    <row r="16" spans="1:30" x14ac:dyDescent="0.25">
      <c r="A16" s="1"/>
      <c r="B16" s="22" t="s">
        <v>26</v>
      </c>
      <c r="C16" s="23" t="s">
        <v>123</v>
      </c>
      <c r="D16" s="24">
        <v>5312.8</v>
      </c>
      <c r="E16" s="25"/>
      <c r="F16" s="25"/>
      <c r="G16" s="26">
        <f t="shared" ref="G16:G24" si="1">SUM(D16:F16)</f>
        <v>5312.8</v>
      </c>
      <c r="H16" s="27"/>
      <c r="I16" s="20">
        <f t="shared" ref="I16:I24" si="2">G16+H16</f>
        <v>5312.8</v>
      </c>
      <c r="J16" s="416">
        <v>5142.5</v>
      </c>
      <c r="K16" s="335"/>
      <c r="L16" s="335"/>
      <c r="M16" s="336">
        <f t="shared" si="0"/>
        <v>5142.5</v>
      </c>
      <c r="N16" s="337"/>
      <c r="O16" s="333">
        <f t="shared" ref="O16:O21" si="3">M16+N16</f>
        <v>5142.5</v>
      </c>
      <c r="P16" s="24">
        <v>2600</v>
      </c>
      <c r="Q16" s="338"/>
      <c r="R16" s="25"/>
      <c r="S16" s="26">
        <f t="shared" ref="S16:S24" si="4">SUM(P16:R16)</f>
        <v>2600</v>
      </c>
      <c r="T16" s="27"/>
      <c r="U16" s="20">
        <f t="shared" ref="U16:U21" si="5">S16+T16</f>
        <v>2600</v>
      </c>
      <c r="V16" s="24">
        <v>5290.9</v>
      </c>
      <c r="W16" s="25"/>
      <c r="X16" s="25"/>
      <c r="Y16" s="26">
        <f t="shared" ref="Y16:Y24" si="6">SUM(V16:X16)</f>
        <v>5290.9</v>
      </c>
      <c r="Z16" s="27"/>
      <c r="AA16" s="20">
        <f t="shared" ref="AA16:AA21" si="7">Y16+Z16</f>
        <v>5290.9</v>
      </c>
      <c r="AB16" s="21">
        <f t="shared" ref="AB16:AB25" si="8">(AA16/O16)</f>
        <v>1.0288575595527467</v>
      </c>
      <c r="AC16" s="3"/>
      <c r="AD16" s="3"/>
    </row>
    <row r="17" spans="1:30" x14ac:dyDescent="0.25">
      <c r="A17" s="1"/>
      <c r="B17" s="22" t="s">
        <v>28</v>
      </c>
      <c r="C17" s="28" t="s">
        <v>124</v>
      </c>
      <c r="D17" s="29">
        <v>172.9</v>
      </c>
      <c r="E17" s="30"/>
      <c r="F17" s="30"/>
      <c r="G17" s="26">
        <f t="shared" si="1"/>
        <v>172.9</v>
      </c>
      <c r="H17" s="31"/>
      <c r="I17" s="20">
        <f t="shared" si="2"/>
        <v>172.9</v>
      </c>
      <c r="J17" s="342">
        <v>120.8</v>
      </c>
      <c r="K17" s="339"/>
      <c r="L17" s="339"/>
      <c r="M17" s="336">
        <f t="shared" si="0"/>
        <v>120.8</v>
      </c>
      <c r="N17" s="340"/>
      <c r="O17" s="333">
        <f t="shared" si="3"/>
        <v>120.8</v>
      </c>
      <c r="P17" s="29">
        <v>120.8</v>
      </c>
      <c r="Q17" s="30"/>
      <c r="R17" s="30"/>
      <c r="S17" s="26">
        <f t="shared" si="4"/>
        <v>120.8</v>
      </c>
      <c r="T17" s="31"/>
      <c r="U17" s="20">
        <f t="shared" si="5"/>
        <v>120.8</v>
      </c>
      <c r="V17" s="29">
        <v>50</v>
      </c>
      <c r="W17" s="30"/>
      <c r="X17" s="30"/>
      <c r="Y17" s="26">
        <f t="shared" si="6"/>
        <v>50</v>
      </c>
      <c r="Z17" s="31"/>
      <c r="AA17" s="20">
        <f t="shared" si="7"/>
        <v>50</v>
      </c>
      <c r="AB17" s="21">
        <f t="shared" si="8"/>
        <v>0.41390728476821192</v>
      </c>
      <c r="AC17" s="3"/>
      <c r="AD17" s="3"/>
    </row>
    <row r="18" spans="1:30" x14ac:dyDescent="0.25">
      <c r="A18" s="1"/>
      <c r="B18" s="22" t="s">
        <v>125</v>
      </c>
      <c r="C18" s="341" t="s">
        <v>126</v>
      </c>
      <c r="D18" s="29">
        <v>0</v>
      </c>
      <c r="E18" s="30"/>
      <c r="F18" s="30"/>
      <c r="G18" s="26">
        <f t="shared" si="1"/>
        <v>0</v>
      </c>
      <c r="H18" s="27"/>
      <c r="I18" s="20">
        <f t="shared" si="2"/>
        <v>0</v>
      </c>
      <c r="J18" s="342">
        <v>0</v>
      </c>
      <c r="K18" s="339"/>
      <c r="L18" s="339"/>
      <c r="M18" s="336">
        <f t="shared" si="0"/>
        <v>0</v>
      </c>
      <c r="N18" s="337"/>
      <c r="O18" s="333">
        <f t="shared" si="3"/>
        <v>0</v>
      </c>
      <c r="P18" s="29"/>
      <c r="Q18" s="30"/>
      <c r="R18" s="30"/>
      <c r="S18" s="26">
        <f t="shared" si="4"/>
        <v>0</v>
      </c>
      <c r="T18" s="27"/>
      <c r="U18" s="20">
        <f t="shared" si="5"/>
        <v>0</v>
      </c>
      <c r="V18" s="29">
        <v>6567.7</v>
      </c>
      <c r="W18" s="30"/>
      <c r="X18" s="30"/>
      <c r="Y18" s="26">
        <f t="shared" si="6"/>
        <v>6567.7</v>
      </c>
      <c r="Z18" s="27"/>
      <c r="AA18" s="20">
        <f t="shared" si="7"/>
        <v>6567.7</v>
      </c>
      <c r="AB18" s="21"/>
      <c r="AC18" s="3"/>
      <c r="AD18" s="3"/>
    </row>
    <row r="19" spans="1:30" x14ac:dyDescent="0.25">
      <c r="A19" s="1"/>
      <c r="B19" s="22" t="s">
        <v>30</v>
      </c>
      <c r="C19" s="32" t="s">
        <v>31</v>
      </c>
      <c r="D19" s="33"/>
      <c r="E19" s="34">
        <v>59844.4</v>
      </c>
      <c r="F19" s="30"/>
      <c r="G19" s="26">
        <f t="shared" si="1"/>
        <v>59844.4</v>
      </c>
      <c r="H19" s="19">
        <v>0</v>
      </c>
      <c r="I19" s="20">
        <f t="shared" si="2"/>
        <v>59844.4</v>
      </c>
      <c r="J19" s="343"/>
      <c r="K19" s="417">
        <v>57884</v>
      </c>
      <c r="L19" s="339"/>
      <c r="M19" s="336">
        <f t="shared" si="0"/>
        <v>57884</v>
      </c>
      <c r="N19" s="332">
        <v>0</v>
      </c>
      <c r="O19" s="333">
        <f t="shared" si="3"/>
        <v>57884</v>
      </c>
      <c r="P19" s="33"/>
      <c r="Q19" s="34">
        <v>32766.7</v>
      </c>
      <c r="R19" s="30"/>
      <c r="S19" s="26">
        <f t="shared" si="4"/>
        <v>32766.7</v>
      </c>
      <c r="T19" s="19">
        <v>0</v>
      </c>
      <c r="U19" s="20">
        <f t="shared" si="5"/>
        <v>32766.7</v>
      </c>
      <c r="V19" s="33"/>
      <c r="W19" s="34">
        <v>53920</v>
      </c>
      <c r="X19" s="30"/>
      <c r="Y19" s="26">
        <f t="shared" si="6"/>
        <v>53920</v>
      </c>
      <c r="Z19" s="19">
        <v>0</v>
      </c>
      <c r="AA19" s="20">
        <f t="shared" si="7"/>
        <v>53920</v>
      </c>
      <c r="AB19" s="21">
        <f t="shared" si="8"/>
        <v>0.93151820883145597</v>
      </c>
      <c r="AC19" s="3"/>
      <c r="AD19" s="3"/>
    </row>
    <row r="20" spans="1:30" x14ac:dyDescent="0.25">
      <c r="A20" s="1"/>
      <c r="B20" s="22" t="s">
        <v>32</v>
      </c>
      <c r="C20" s="35" t="s">
        <v>33</v>
      </c>
      <c r="D20" s="36"/>
      <c r="E20" s="30"/>
      <c r="F20" s="37">
        <v>0</v>
      </c>
      <c r="G20" s="26">
        <f t="shared" si="1"/>
        <v>0</v>
      </c>
      <c r="H20" s="38">
        <v>0</v>
      </c>
      <c r="I20" s="20">
        <f t="shared" si="2"/>
        <v>0</v>
      </c>
      <c r="J20" s="344"/>
      <c r="K20" s="339"/>
      <c r="L20" s="397">
        <v>0</v>
      </c>
      <c r="M20" s="336">
        <f t="shared" si="0"/>
        <v>0</v>
      </c>
      <c r="N20" s="345">
        <v>0</v>
      </c>
      <c r="O20" s="333">
        <f t="shared" si="3"/>
        <v>0</v>
      </c>
      <c r="P20" s="36"/>
      <c r="Q20" s="30"/>
      <c r="R20" s="37"/>
      <c r="S20" s="26">
        <f t="shared" si="4"/>
        <v>0</v>
      </c>
      <c r="T20" s="38">
        <v>0</v>
      </c>
      <c r="U20" s="20">
        <f t="shared" si="5"/>
        <v>0</v>
      </c>
      <c r="V20" s="36"/>
      <c r="W20" s="30"/>
      <c r="X20" s="37">
        <v>0</v>
      </c>
      <c r="Y20" s="26">
        <f t="shared" si="6"/>
        <v>0</v>
      </c>
      <c r="Z20" s="38">
        <v>0</v>
      </c>
      <c r="AA20" s="20">
        <f t="shared" si="7"/>
        <v>0</v>
      </c>
      <c r="AB20" s="21" t="e">
        <f t="shared" si="8"/>
        <v>#DIV/0!</v>
      </c>
      <c r="AC20" s="3"/>
      <c r="AD20" s="3"/>
    </row>
    <row r="21" spans="1:30" x14ac:dyDescent="0.25">
      <c r="A21" s="1"/>
      <c r="B21" s="22" t="s">
        <v>34</v>
      </c>
      <c r="C21" s="39" t="s">
        <v>35</v>
      </c>
      <c r="D21" s="33"/>
      <c r="E21" s="25"/>
      <c r="F21" s="40">
        <v>592.6</v>
      </c>
      <c r="G21" s="26">
        <f t="shared" si="1"/>
        <v>592.6</v>
      </c>
      <c r="H21" s="38">
        <v>0</v>
      </c>
      <c r="I21" s="20">
        <f t="shared" si="2"/>
        <v>592.6</v>
      </c>
      <c r="J21" s="343"/>
      <c r="K21" s="335"/>
      <c r="L21" s="418">
        <v>300</v>
      </c>
      <c r="M21" s="336">
        <f t="shared" si="0"/>
        <v>300</v>
      </c>
      <c r="N21" s="345">
        <v>0</v>
      </c>
      <c r="O21" s="333">
        <f t="shared" si="3"/>
        <v>300</v>
      </c>
      <c r="P21" s="33"/>
      <c r="Q21" s="25"/>
      <c r="R21" s="40">
        <v>293.7</v>
      </c>
      <c r="S21" s="26">
        <f t="shared" si="4"/>
        <v>293.7</v>
      </c>
      <c r="T21" s="38">
        <v>0</v>
      </c>
      <c r="U21" s="20">
        <f t="shared" si="5"/>
        <v>293.7</v>
      </c>
      <c r="V21" s="33"/>
      <c r="W21" s="25"/>
      <c r="X21" s="40">
        <v>496.1</v>
      </c>
      <c r="Y21" s="26">
        <f t="shared" si="6"/>
        <v>496.1</v>
      </c>
      <c r="Z21" s="38">
        <v>0</v>
      </c>
      <c r="AA21" s="20">
        <f t="shared" si="7"/>
        <v>496.1</v>
      </c>
      <c r="AB21" s="21">
        <f t="shared" si="8"/>
        <v>1.6536666666666668</v>
      </c>
      <c r="AC21" s="3"/>
      <c r="AD21" s="3"/>
    </row>
    <row r="22" spans="1:30" x14ac:dyDescent="0.25">
      <c r="A22" s="1"/>
      <c r="B22" s="22" t="s">
        <v>36</v>
      </c>
      <c r="C22" s="41" t="s">
        <v>37</v>
      </c>
      <c r="D22" s="33"/>
      <c r="E22" s="25"/>
      <c r="F22" s="40">
        <v>336.3</v>
      </c>
      <c r="G22" s="26">
        <f t="shared" si="1"/>
        <v>336.3</v>
      </c>
      <c r="H22" s="42">
        <v>569</v>
      </c>
      <c r="I22" s="20">
        <f>G22+H22</f>
        <v>905.3</v>
      </c>
      <c r="J22" s="343"/>
      <c r="K22" s="335"/>
      <c r="L22" s="418">
        <v>280</v>
      </c>
      <c r="M22" s="336">
        <f t="shared" si="0"/>
        <v>280</v>
      </c>
      <c r="N22" s="346">
        <v>360</v>
      </c>
      <c r="O22" s="333">
        <f>M22+N22</f>
        <v>640</v>
      </c>
      <c r="P22" s="33"/>
      <c r="Q22" s="25"/>
      <c r="R22" s="40">
        <v>109</v>
      </c>
      <c r="S22" s="26">
        <f t="shared" si="4"/>
        <v>109</v>
      </c>
      <c r="T22" s="42">
        <v>292.8</v>
      </c>
      <c r="U22" s="20">
        <f>S22+T22</f>
        <v>401.8</v>
      </c>
      <c r="V22" s="33"/>
      <c r="W22" s="25"/>
      <c r="X22" s="40">
        <v>200</v>
      </c>
      <c r="Y22" s="26">
        <f t="shared" si="6"/>
        <v>200</v>
      </c>
      <c r="Z22" s="42">
        <v>360</v>
      </c>
      <c r="AA22" s="20">
        <f>Y22+Z22</f>
        <v>560</v>
      </c>
      <c r="AB22" s="21">
        <f t="shared" si="8"/>
        <v>0.875</v>
      </c>
      <c r="AC22" s="3"/>
      <c r="AD22" s="3"/>
    </row>
    <row r="23" spans="1:30" x14ac:dyDescent="0.25">
      <c r="A23" s="1"/>
      <c r="B23" s="22" t="s">
        <v>38</v>
      </c>
      <c r="C23" s="41" t="s">
        <v>39</v>
      </c>
      <c r="D23" s="33"/>
      <c r="E23" s="25"/>
      <c r="F23" s="40">
        <v>0</v>
      </c>
      <c r="G23" s="26">
        <f t="shared" si="1"/>
        <v>0</v>
      </c>
      <c r="H23" s="42">
        <v>569</v>
      </c>
      <c r="I23" s="20">
        <f t="shared" si="2"/>
        <v>569</v>
      </c>
      <c r="J23" s="343"/>
      <c r="K23" s="335"/>
      <c r="L23" s="418">
        <v>0</v>
      </c>
      <c r="M23" s="336">
        <f t="shared" si="0"/>
        <v>0</v>
      </c>
      <c r="N23" s="346">
        <v>360</v>
      </c>
      <c r="O23" s="333">
        <f t="shared" ref="O23:O24" si="9">M23+N23</f>
        <v>360</v>
      </c>
      <c r="P23" s="33"/>
      <c r="Q23" s="25"/>
      <c r="R23" s="40"/>
      <c r="S23" s="26">
        <f t="shared" si="4"/>
        <v>0</v>
      </c>
      <c r="T23" s="42">
        <v>292.8</v>
      </c>
      <c r="U23" s="20">
        <f t="shared" ref="U23:U24" si="10">S23+T23</f>
        <v>292.8</v>
      </c>
      <c r="V23" s="33"/>
      <c r="W23" s="25"/>
      <c r="X23" s="40">
        <v>0</v>
      </c>
      <c r="Y23" s="26">
        <f t="shared" si="6"/>
        <v>0</v>
      </c>
      <c r="Z23" s="42">
        <v>360</v>
      </c>
      <c r="AA23" s="20">
        <f t="shared" ref="AA23:AA24" si="11">Y23+Z23</f>
        <v>360</v>
      </c>
      <c r="AB23" s="21">
        <f t="shared" si="8"/>
        <v>1</v>
      </c>
      <c r="AC23" s="3"/>
      <c r="AD23" s="3"/>
    </row>
    <row r="24" spans="1:30" ht="15.75" thickBot="1" x14ac:dyDescent="0.3">
      <c r="A24" s="1"/>
      <c r="B24" s="43" t="s">
        <v>40</v>
      </c>
      <c r="C24" s="44" t="s">
        <v>41</v>
      </c>
      <c r="D24" s="45"/>
      <c r="E24" s="46"/>
      <c r="F24" s="47">
        <v>0</v>
      </c>
      <c r="G24" s="48">
        <f t="shared" si="1"/>
        <v>0</v>
      </c>
      <c r="H24" s="49">
        <v>0</v>
      </c>
      <c r="I24" s="50">
        <f t="shared" si="2"/>
        <v>0</v>
      </c>
      <c r="J24" s="347"/>
      <c r="K24" s="348"/>
      <c r="L24" s="419">
        <v>0</v>
      </c>
      <c r="M24" s="349">
        <f t="shared" si="0"/>
        <v>0</v>
      </c>
      <c r="N24" s="350">
        <v>0</v>
      </c>
      <c r="O24" s="351">
        <f t="shared" si="9"/>
        <v>0</v>
      </c>
      <c r="P24" s="45"/>
      <c r="Q24" s="46"/>
      <c r="R24" s="47"/>
      <c r="S24" s="48">
        <f t="shared" si="4"/>
        <v>0</v>
      </c>
      <c r="T24" s="49">
        <v>0</v>
      </c>
      <c r="U24" s="50">
        <f t="shared" si="10"/>
        <v>0</v>
      </c>
      <c r="V24" s="45"/>
      <c r="W24" s="46"/>
      <c r="X24" s="47">
        <v>0</v>
      </c>
      <c r="Y24" s="48">
        <f t="shared" si="6"/>
        <v>0</v>
      </c>
      <c r="Z24" s="49">
        <v>0</v>
      </c>
      <c r="AA24" s="50">
        <f t="shared" si="11"/>
        <v>0</v>
      </c>
      <c r="AB24" s="51" t="e">
        <f t="shared" si="8"/>
        <v>#DIV/0!</v>
      </c>
      <c r="AC24" s="3"/>
      <c r="AD24" s="3"/>
    </row>
    <row r="25" spans="1:30" ht="15.75" thickBot="1" x14ac:dyDescent="0.3">
      <c r="A25" s="1"/>
      <c r="B25" s="52" t="s">
        <v>42</v>
      </c>
      <c r="C25" s="53" t="s">
        <v>43</v>
      </c>
      <c r="D25" s="54">
        <f>SUM(D15:D22)</f>
        <v>5485.7</v>
      </c>
      <c r="E25" s="55">
        <f>SUM(E15:E22)</f>
        <v>59844.4</v>
      </c>
      <c r="F25" s="55">
        <f>SUM(F15:F22)</f>
        <v>1976.3999999999999</v>
      </c>
      <c r="G25" s="56">
        <f>SUM(D25:F25)</f>
        <v>67306.5</v>
      </c>
      <c r="H25" s="57">
        <f>SUM(H15:H22)</f>
        <v>653.29999999999995</v>
      </c>
      <c r="I25" s="57">
        <f>SUM(I15:I22)</f>
        <v>67959.8</v>
      </c>
      <c r="J25" s="352">
        <f>SUM(J15:J22)</f>
        <v>5263.3</v>
      </c>
      <c r="K25" s="353">
        <f>SUM(K15:K22)</f>
        <v>57884</v>
      </c>
      <c r="L25" s="353">
        <f>SUM(L15:L22)</f>
        <v>1280</v>
      </c>
      <c r="M25" s="354">
        <f>SUM(J25:L25)</f>
        <v>64427.3</v>
      </c>
      <c r="N25" s="355">
        <f>SUM(N13:N22)</f>
        <v>440</v>
      </c>
      <c r="O25" s="355">
        <f>SUM(O15:O22)</f>
        <v>64867.3</v>
      </c>
      <c r="P25" s="54">
        <f>SUM(P15:P22)</f>
        <v>2720.8</v>
      </c>
      <c r="Q25" s="55">
        <f>SUM(Q15:Q22)</f>
        <v>32766.7</v>
      </c>
      <c r="R25" s="55">
        <f>SUM(R15:R22)</f>
        <v>1090.5999999999999</v>
      </c>
      <c r="S25" s="56">
        <f>SUM(P25:R25)</f>
        <v>36578.1</v>
      </c>
      <c r="T25" s="57">
        <f>SUM(T15:T22)</f>
        <v>351.2</v>
      </c>
      <c r="U25" s="57">
        <f>SUM(U15:U22)</f>
        <v>36929.300000000003</v>
      </c>
      <c r="V25" s="54">
        <f>SUM(V15:V22)</f>
        <v>11908.599999999999</v>
      </c>
      <c r="W25" s="55">
        <f>SUM(W15:W22)</f>
        <v>53920</v>
      </c>
      <c r="X25" s="55">
        <f>SUM(X15:X22)</f>
        <v>1496.1</v>
      </c>
      <c r="Y25" s="56">
        <f>SUM(V25:X25)</f>
        <v>67324.700000000012</v>
      </c>
      <c r="Z25" s="57">
        <f>SUM(Z15:Z22)</f>
        <v>440</v>
      </c>
      <c r="AA25" s="57">
        <f>SUM(AA15:AA22)</f>
        <v>67764.700000000012</v>
      </c>
      <c r="AB25" s="58">
        <f t="shared" si="8"/>
        <v>1.0446665731424001</v>
      </c>
      <c r="AC25" s="3"/>
      <c r="AD25" s="3"/>
    </row>
    <row r="26" spans="1:30" ht="15.75" customHeight="1" thickBot="1" x14ac:dyDescent="0.3">
      <c r="A26" s="1"/>
      <c r="B26" s="59"/>
      <c r="C26" s="60"/>
      <c r="D26" s="596" t="s">
        <v>44</v>
      </c>
      <c r="E26" s="597"/>
      <c r="F26" s="597"/>
      <c r="G26" s="598"/>
      <c r="H26" s="598"/>
      <c r="I26" s="599"/>
      <c r="J26" s="705" t="s">
        <v>44</v>
      </c>
      <c r="K26" s="706"/>
      <c r="L26" s="706"/>
      <c r="M26" s="707"/>
      <c r="N26" s="707"/>
      <c r="O26" s="708"/>
      <c r="P26" s="596" t="s">
        <v>44</v>
      </c>
      <c r="Q26" s="597"/>
      <c r="R26" s="597"/>
      <c r="S26" s="598"/>
      <c r="T26" s="598"/>
      <c r="U26" s="599"/>
      <c r="V26" s="596" t="s">
        <v>44</v>
      </c>
      <c r="W26" s="597"/>
      <c r="X26" s="597"/>
      <c r="Y26" s="598"/>
      <c r="Z26" s="598"/>
      <c r="AA26" s="599"/>
      <c r="AB26" s="600" t="s">
        <v>13</v>
      </c>
      <c r="AC26" s="3"/>
      <c r="AD26" s="3"/>
    </row>
    <row r="27" spans="1:30" ht="15.75" thickBot="1" x14ac:dyDescent="0.3">
      <c r="A27" s="1"/>
      <c r="B27" s="590" t="s">
        <v>7</v>
      </c>
      <c r="C27" s="592" t="s">
        <v>8</v>
      </c>
      <c r="D27" s="586" t="s">
        <v>45</v>
      </c>
      <c r="E27" s="587"/>
      <c r="F27" s="587"/>
      <c r="G27" s="588" t="s">
        <v>46</v>
      </c>
      <c r="H27" s="578" t="s">
        <v>47</v>
      </c>
      <c r="I27" s="580" t="s">
        <v>44</v>
      </c>
      <c r="J27" s="709" t="s">
        <v>45</v>
      </c>
      <c r="K27" s="710"/>
      <c r="L27" s="710"/>
      <c r="M27" s="711" t="s">
        <v>46</v>
      </c>
      <c r="N27" s="713" t="s">
        <v>47</v>
      </c>
      <c r="O27" s="715" t="s">
        <v>44</v>
      </c>
      <c r="P27" s="586" t="s">
        <v>45</v>
      </c>
      <c r="Q27" s="587"/>
      <c r="R27" s="587"/>
      <c r="S27" s="588" t="s">
        <v>46</v>
      </c>
      <c r="T27" s="578" t="s">
        <v>47</v>
      </c>
      <c r="U27" s="580" t="s">
        <v>44</v>
      </c>
      <c r="V27" s="586" t="s">
        <v>45</v>
      </c>
      <c r="W27" s="587"/>
      <c r="X27" s="587"/>
      <c r="Y27" s="588" t="s">
        <v>46</v>
      </c>
      <c r="Z27" s="578" t="s">
        <v>47</v>
      </c>
      <c r="AA27" s="580" t="s">
        <v>44</v>
      </c>
      <c r="AB27" s="601"/>
      <c r="AC27" s="3"/>
      <c r="AD27" s="3"/>
    </row>
    <row r="28" spans="1:30" ht="15.75" thickBot="1" x14ac:dyDescent="0.3">
      <c r="A28" s="1"/>
      <c r="B28" s="591"/>
      <c r="C28" s="593"/>
      <c r="D28" s="61" t="s">
        <v>48</v>
      </c>
      <c r="E28" s="62" t="s">
        <v>49</v>
      </c>
      <c r="F28" s="63" t="s">
        <v>50</v>
      </c>
      <c r="G28" s="589"/>
      <c r="H28" s="579"/>
      <c r="I28" s="581"/>
      <c r="J28" s="356" t="s">
        <v>48</v>
      </c>
      <c r="K28" s="357" t="s">
        <v>49</v>
      </c>
      <c r="L28" s="358" t="s">
        <v>50</v>
      </c>
      <c r="M28" s="712"/>
      <c r="N28" s="714"/>
      <c r="O28" s="716"/>
      <c r="P28" s="61" t="s">
        <v>48</v>
      </c>
      <c r="Q28" s="62" t="s">
        <v>49</v>
      </c>
      <c r="R28" s="63" t="s">
        <v>50</v>
      </c>
      <c r="S28" s="589"/>
      <c r="T28" s="579"/>
      <c r="U28" s="581"/>
      <c r="V28" s="61" t="s">
        <v>48</v>
      </c>
      <c r="W28" s="62" t="s">
        <v>49</v>
      </c>
      <c r="X28" s="63" t="s">
        <v>50</v>
      </c>
      <c r="Y28" s="589"/>
      <c r="Z28" s="579"/>
      <c r="AA28" s="581"/>
      <c r="AB28" s="602"/>
      <c r="AC28" s="3"/>
      <c r="AD28" s="3"/>
    </row>
    <row r="29" spans="1:30" x14ac:dyDescent="0.25">
      <c r="A29" s="1"/>
      <c r="B29" s="13" t="s">
        <v>51</v>
      </c>
      <c r="C29" s="67" t="s">
        <v>52</v>
      </c>
      <c r="D29" s="68">
        <v>438</v>
      </c>
      <c r="E29" s="68">
        <v>0</v>
      </c>
      <c r="F29" s="68">
        <v>0</v>
      </c>
      <c r="G29" s="70">
        <f>SUM(D29:F29)</f>
        <v>438</v>
      </c>
      <c r="H29" s="70">
        <v>56.7</v>
      </c>
      <c r="I29" s="71">
        <f>G29+H29</f>
        <v>494.7</v>
      </c>
      <c r="J29" s="421">
        <v>475</v>
      </c>
      <c r="K29" s="422">
        <v>0</v>
      </c>
      <c r="L29" s="422">
        <v>310</v>
      </c>
      <c r="M29" s="359">
        <f>SUM(J29:L29)</f>
        <v>785</v>
      </c>
      <c r="N29" s="359">
        <v>95.5</v>
      </c>
      <c r="O29" s="360">
        <f>M29+N29</f>
        <v>880.5</v>
      </c>
      <c r="P29" s="72">
        <v>71.599999999999994</v>
      </c>
      <c r="Q29" s="68">
        <v>0</v>
      </c>
      <c r="R29" s="68">
        <v>0</v>
      </c>
      <c r="S29" s="70">
        <f>SUM(P29:R29)</f>
        <v>71.599999999999994</v>
      </c>
      <c r="T29" s="70">
        <v>29.5</v>
      </c>
      <c r="U29" s="71">
        <f>S29+T29</f>
        <v>101.1</v>
      </c>
      <c r="V29" s="72">
        <v>475</v>
      </c>
      <c r="W29" s="68">
        <v>0</v>
      </c>
      <c r="X29" s="68">
        <v>250</v>
      </c>
      <c r="Y29" s="70">
        <f>SUM(V29:X29)</f>
        <v>725</v>
      </c>
      <c r="Z29" s="70">
        <v>95.5</v>
      </c>
      <c r="AA29" s="71">
        <f>Y29+Z29</f>
        <v>820.5</v>
      </c>
      <c r="AB29" s="21">
        <f t="shared" ref="AB29:AB42" si="12">(AA29/O29)</f>
        <v>0.93185689948892669</v>
      </c>
      <c r="AC29" s="3"/>
      <c r="AD29" s="3"/>
    </row>
    <row r="30" spans="1:30" x14ac:dyDescent="0.25">
      <c r="A30" s="1"/>
      <c r="B30" s="22" t="s">
        <v>53</v>
      </c>
      <c r="C30" s="73" t="s">
        <v>54</v>
      </c>
      <c r="D30" s="74">
        <v>785.2</v>
      </c>
      <c r="E30" s="75">
        <v>331.7</v>
      </c>
      <c r="F30" s="75">
        <v>1044.3</v>
      </c>
      <c r="G30" s="76">
        <f t="shared" ref="G30:G39" si="13">SUM(D30:F30)</f>
        <v>2161.1999999999998</v>
      </c>
      <c r="H30" s="77">
        <v>67.8</v>
      </c>
      <c r="I30" s="20">
        <f t="shared" ref="I30:I39" si="14">G30+H30</f>
        <v>2229</v>
      </c>
      <c r="J30" s="424">
        <v>550</v>
      </c>
      <c r="K30" s="425">
        <v>400</v>
      </c>
      <c r="L30" s="425">
        <v>700</v>
      </c>
      <c r="M30" s="361">
        <f t="shared" ref="M30:M39" si="15">SUM(J30:L30)</f>
        <v>1650</v>
      </c>
      <c r="N30" s="362">
        <v>100</v>
      </c>
      <c r="O30" s="333">
        <f t="shared" ref="O30:O39" si="16">M30+N30</f>
        <v>1750</v>
      </c>
      <c r="P30" s="78">
        <v>230.7</v>
      </c>
      <c r="Q30" s="75">
        <v>416.4</v>
      </c>
      <c r="R30" s="75">
        <v>667.8</v>
      </c>
      <c r="S30" s="76">
        <f t="shared" ref="S30:S39" si="17">SUM(P30:R30)</f>
        <v>1314.8999999999999</v>
      </c>
      <c r="T30" s="77">
        <v>0</v>
      </c>
      <c r="U30" s="20">
        <f t="shared" ref="U30:U39" si="18">S30+T30</f>
        <v>1314.8999999999999</v>
      </c>
      <c r="V30" s="78">
        <v>943.5</v>
      </c>
      <c r="W30" s="75">
        <v>0</v>
      </c>
      <c r="X30" s="75">
        <v>800</v>
      </c>
      <c r="Y30" s="76">
        <f t="shared" ref="Y30:Y39" si="19">SUM(V30:X30)</f>
        <v>1743.5</v>
      </c>
      <c r="Z30" s="77">
        <v>100</v>
      </c>
      <c r="AA30" s="20">
        <f t="shared" ref="AA30:AA39" si="20">Y30+Z30</f>
        <v>1843.5</v>
      </c>
      <c r="AB30" s="21">
        <f t="shared" si="12"/>
        <v>1.0534285714285714</v>
      </c>
      <c r="AC30" s="3"/>
      <c r="AD30" s="3"/>
    </row>
    <row r="31" spans="1:30" x14ac:dyDescent="0.25">
      <c r="A31" s="1"/>
      <c r="B31" s="22" t="s">
        <v>55</v>
      </c>
      <c r="C31" s="41" t="s">
        <v>56</v>
      </c>
      <c r="D31" s="79">
        <v>2360.3000000000002</v>
      </c>
      <c r="E31" s="79">
        <v>0</v>
      </c>
      <c r="F31" s="79">
        <v>40.200000000000003</v>
      </c>
      <c r="G31" s="76">
        <f t="shared" si="13"/>
        <v>2400.5</v>
      </c>
      <c r="H31" s="76">
        <v>216.5</v>
      </c>
      <c r="I31" s="20">
        <f t="shared" si="14"/>
        <v>2617</v>
      </c>
      <c r="J31" s="426">
        <v>2147.5</v>
      </c>
      <c r="K31" s="246">
        <v>0</v>
      </c>
      <c r="L31" s="427">
        <v>0</v>
      </c>
      <c r="M31" s="361">
        <f t="shared" si="15"/>
        <v>2147.5</v>
      </c>
      <c r="N31" s="361">
        <v>130</v>
      </c>
      <c r="O31" s="333">
        <f t="shared" si="16"/>
        <v>2277.5</v>
      </c>
      <c r="P31" s="80">
        <v>1405.7</v>
      </c>
      <c r="Q31" s="79">
        <v>0</v>
      </c>
      <c r="R31" s="79">
        <v>0</v>
      </c>
      <c r="S31" s="76">
        <f t="shared" si="17"/>
        <v>1405.7</v>
      </c>
      <c r="T31" s="76">
        <v>0</v>
      </c>
      <c r="U31" s="20">
        <f t="shared" si="18"/>
        <v>1405.7</v>
      </c>
      <c r="V31" s="80">
        <v>2147.5</v>
      </c>
      <c r="W31" s="79">
        <v>0</v>
      </c>
      <c r="X31" s="79">
        <v>0</v>
      </c>
      <c r="Y31" s="76">
        <f t="shared" si="19"/>
        <v>2147.5</v>
      </c>
      <c r="Z31" s="76">
        <v>130</v>
      </c>
      <c r="AA31" s="20">
        <f t="shared" si="20"/>
        <v>2277.5</v>
      </c>
      <c r="AB31" s="21">
        <f t="shared" si="12"/>
        <v>1</v>
      </c>
      <c r="AC31" s="3"/>
      <c r="AD31" s="3"/>
    </row>
    <row r="32" spans="1:30" x14ac:dyDescent="0.25">
      <c r="A32" s="1"/>
      <c r="B32" s="22" t="s">
        <v>57</v>
      </c>
      <c r="C32" s="41" t="s">
        <v>58</v>
      </c>
      <c r="D32" s="79">
        <v>964.5</v>
      </c>
      <c r="E32" s="79">
        <v>176.9</v>
      </c>
      <c r="F32" s="79">
        <v>153.9</v>
      </c>
      <c r="G32" s="76">
        <f t="shared" si="13"/>
        <v>1295.3000000000002</v>
      </c>
      <c r="H32" s="76">
        <v>37.799999999999997</v>
      </c>
      <c r="I32" s="20">
        <f t="shared" si="14"/>
        <v>1333.1000000000001</v>
      </c>
      <c r="J32" s="426">
        <v>887</v>
      </c>
      <c r="K32" s="427">
        <v>200</v>
      </c>
      <c r="L32" s="427">
        <v>0</v>
      </c>
      <c r="M32" s="361">
        <f t="shared" si="15"/>
        <v>1087</v>
      </c>
      <c r="N32" s="361">
        <v>80</v>
      </c>
      <c r="O32" s="333">
        <f t="shared" si="16"/>
        <v>1167</v>
      </c>
      <c r="P32" s="80">
        <v>482.8</v>
      </c>
      <c r="Q32" s="79">
        <v>435.4</v>
      </c>
      <c r="R32" s="79">
        <v>0</v>
      </c>
      <c r="S32" s="76">
        <f t="shared" si="17"/>
        <v>918.2</v>
      </c>
      <c r="T32" s="76">
        <v>0</v>
      </c>
      <c r="U32" s="20">
        <f t="shared" si="18"/>
        <v>918.2</v>
      </c>
      <c r="V32" s="80">
        <v>945</v>
      </c>
      <c r="W32" s="79">
        <v>0</v>
      </c>
      <c r="X32" s="79">
        <v>0</v>
      </c>
      <c r="Y32" s="76">
        <f t="shared" si="19"/>
        <v>945</v>
      </c>
      <c r="Z32" s="76">
        <v>80</v>
      </c>
      <c r="AA32" s="20">
        <f t="shared" si="20"/>
        <v>1025</v>
      </c>
      <c r="AB32" s="21">
        <f t="shared" si="12"/>
        <v>0.8783204798628963</v>
      </c>
      <c r="AC32" s="3"/>
      <c r="AD32" s="3"/>
    </row>
    <row r="33" spans="1:30" x14ac:dyDescent="0.25">
      <c r="A33" s="1"/>
      <c r="B33" s="22" t="s">
        <v>59</v>
      </c>
      <c r="C33" s="41" t="s">
        <v>60</v>
      </c>
      <c r="D33" s="363">
        <f>SUM(D34:D35)</f>
        <v>73.400000000000006</v>
      </c>
      <c r="E33" s="79">
        <v>43347.199999999997</v>
      </c>
      <c r="F33" s="79">
        <v>20.6</v>
      </c>
      <c r="G33" s="76">
        <f t="shared" si="13"/>
        <v>43441.2</v>
      </c>
      <c r="H33" s="76">
        <v>22.7</v>
      </c>
      <c r="I33" s="20">
        <f t="shared" si="14"/>
        <v>43463.899999999994</v>
      </c>
      <c r="J33" s="426">
        <v>82.2</v>
      </c>
      <c r="K33" s="427">
        <v>42038</v>
      </c>
      <c r="L33" s="427">
        <v>0</v>
      </c>
      <c r="M33" s="361">
        <f t="shared" si="15"/>
        <v>42120.2</v>
      </c>
      <c r="N33" s="361">
        <v>25</v>
      </c>
      <c r="O33" s="333">
        <f t="shared" si="16"/>
        <v>42145.2</v>
      </c>
      <c r="P33" s="82">
        <v>0</v>
      </c>
      <c r="Q33" s="79">
        <f>SUM(Q34:Q35)</f>
        <v>23112.400000000001</v>
      </c>
      <c r="R33" s="79">
        <v>0</v>
      </c>
      <c r="S33" s="76">
        <f t="shared" si="17"/>
        <v>23112.400000000001</v>
      </c>
      <c r="T33" s="76">
        <v>0</v>
      </c>
      <c r="U33" s="20">
        <f t="shared" si="18"/>
        <v>23112.400000000001</v>
      </c>
      <c r="V33" s="82">
        <v>4448.8</v>
      </c>
      <c r="W33" s="79">
        <v>40000</v>
      </c>
      <c r="X33" s="79">
        <v>0</v>
      </c>
      <c r="Y33" s="76">
        <f t="shared" si="19"/>
        <v>44448.800000000003</v>
      </c>
      <c r="Z33" s="76">
        <v>25</v>
      </c>
      <c r="AA33" s="20">
        <f t="shared" si="20"/>
        <v>44473.8</v>
      </c>
      <c r="AB33" s="21">
        <f t="shared" si="12"/>
        <v>1.0552518436263205</v>
      </c>
      <c r="AC33" s="3"/>
      <c r="AD33" s="3"/>
    </row>
    <row r="34" spans="1:30" x14ac:dyDescent="0.25">
      <c r="A34" s="1"/>
      <c r="B34" s="22" t="s">
        <v>61</v>
      </c>
      <c r="C34" s="35" t="s">
        <v>127</v>
      </c>
      <c r="D34" s="363">
        <v>73.400000000000006</v>
      </c>
      <c r="E34" s="79">
        <v>43105.8</v>
      </c>
      <c r="F34" s="79">
        <v>20.6</v>
      </c>
      <c r="G34" s="76">
        <f t="shared" si="13"/>
        <v>43199.8</v>
      </c>
      <c r="H34" s="76">
        <v>22.7</v>
      </c>
      <c r="I34" s="20">
        <f t="shared" si="14"/>
        <v>43222.5</v>
      </c>
      <c r="J34" s="426">
        <v>82.2</v>
      </c>
      <c r="K34" s="427">
        <v>41858</v>
      </c>
      <c r="L34" s="427">
        <v>0</v>
      </c>
      <c r="M34" s="361">
        <f t="shared" si="15"/>
        <v>41940.199999999997</v>
      </c>
      <c r="N34" s="361">
        <v>25</v>
      </c>
      <c r="O34" s="333">
        <f t="shared" si="16"/>
        <v>41965.2</v>
      </c>
      <c r="P34" s="82">
        <v>0</v>
      </c>
      <c r="Q34" s="79">
        <v>22441.5</v>
      </c>
      <c r="R34" s="79">
        <v>0</v>
      </c>
      <c r="S34" s="76">
        <f t="shared" si="17"/>
        <v>22441.5</v>
      </c>
      <c r="T34" s="76">
        <v>0</v>
      </c>
      <c r="U34" s="20">
        <f t="shared" si="18"/>
        <v>22441.5</v>
      </c>
      <c r="V34" s="82">
        <v>4448.8</v>
      </c>
      <c r="W34" s="79">
        <v>40000</v>
      </c>
      <c r="X34" s="79">
        <v>0</v>
      </c>
      <c r="Y34" s="76">
        <f t="shared" si="19"/>
        <v>44448.800000000003</v>
      </c>
      <c r="Z34" s="76">
        <v>25</v>
      </c>
      <c r="AA34" s="20">
        <f t="shared" si="20"/>
        <v>44473.8</v>
      </c>
      <c r="AB34" s="21">
        <f t="shared" si="12"/>
        <v>1.0597781018558234</v>
      </c>
      <c r="AC34" s="3"/>
      <c r="AD34" s="3"/>
    </row>
    <row r="35" spans="1:30" x14ac:dyDescent="0.25">
      <c r="A35" s="1"/>
      <c r="B35" s="22" t="s">
        <v>63</v>
      </c>
      <c r="C35" s="81" t="s">
        <v>64</v>
      </c>
      <c r="D35" s="363">
        <v>0</v>
      </c>
      <c r="E35" s="79">
        <v>241.4</v>
      </c>
      <c r="F35" s="79">
        <v>0</v>
      </c>
      <c r="G35" s="76">
        <f t="shared" si="13"/>
        <v>241.4</v>
      </c>
      <c r="H35" s="76">
        <v>0</v>
      </c>
      <c r="I35" s="20">
        <f t="shared" si="14"/>
        <v>241.4</v>
      </c>
      <c r="J35" s="426">
        <v>0</v>
      </c>
      <c r="K35" s="427">
        <v>180</v>
      </c>
      <c r="L35" s="427">
        <v>0</v>
      </c>
      <c r="M35" s="361">
        <f>SUM(J35:L35)</f>
        <v>180</v>
      </c>
      <c r="N35" s="361">
        <v>0</v>
      </c>
      <c r="O35" s="333">
        <f t="shared" si="16"/>
        <v>180</v>
      </c>
      <c r="P35" s="82">
        <v>0</v>
      </c>
      <c r="Q35" s="79">
        <v>670.9</v>
      </c>
      <c r="R35" s="79">
        <v>0</v>
      </c>
      <c r="S35" s="76">
        <f t="shared" si="17"/>
        <v>670.9</v>
      </c>
      <c r="T35" s="76">
        <v>0</v>
      </c>
      <c r="U35" s="20">
        <f t="shared" si="18"/>
        <v>670.9</v>
      </c>
      <c r="V35" s="82">
        <v>0</v>
      </c>
      <c r="W35" s="79">
        <v>0</v>
      </c>
      <c r="X35" s="79">
        <v>0</v>
      </c>
      <c r="Y35" s="76">
        <f t="shared" si="19"/>
        <v>0</v>
      </c>
      <c r="Z35" s="76">
        <v>0</v>
      </c>
      <c r="AA35" s="20">
        <f t="shared" si="20"/>
        <v>0</v>
      </c>
      <c r="AB35" s="21">
        <f t="shared" si="12"/>
        <v>0</v>
      </c>
      <c r="AC35" s="3"/>
      <c r="AD35" s="3"/>
    </row>
    <row r="36" spans="1:30" x14ac:dyDescent="0.25">
      <c r="A36" s="1"/>
      <c r="B36" s="22" t="s">
        <v>65</v>
      </c>
      <c r="C36" s="41" t="s">
        <v>66</v>
      </c>
      <c r="D36" s="363">
        <v>40.700000000000003</v>
      </c>
      <c r="E36" s="79">
        <v>14490.9</v>
      </c>
      <c r="F36" s="79">
        <v>0</v>
      </c>
      <c r="G36" s="76">
        <f t="shared" si="13"/>
        <v>14531.6</v>
      </c>
      <c r="H36" s="76">
        <v>7.7</v>
      </c>
      <c r="I36" s="20">
        <f t="shared" si="14"/>
        <v>14539.300000000001</v>
      </c>
      <c r="J36" s="426">
        <v>27.8</v>
      </c>
      <c r="K36" s="427">
        <v>14148</v>
      </c>
      <c r="L36" s="427">
        <v>0</v>
      </c>
      <c r="M36" s="361">
        <f t="shared" ref="M36" si="21">SUM(J36:L36)</f>
        <v>14175.8</v>
      </c>
      <c r="N36" s="361">
        <v>8.5</v>
      </c>
      <c r="O36" s="333">
        <f t="shared" si="16"/>
        <v>14184.3</v>
      </c>
      <c r="P36" s="82">
        <v>6.8</v>
      </c>
      <c r="Q36" s="79">
        <v>7489.1</v>
      </c>
      <c r="R36" s="79">
        <v>0</v>
      </c>
      <c r="S36" s="76">
        <f t="shared" si="17"/>
        <v>7495.9000000000005</v>
      </c>
      <c r="T36" s="76">
        <v>0</v>
      </c>
      <c r="U36" s="20">
        <f t="shared" si="18"/>
        <v>7495.9000000000005</v>
      </c>
      <c r="V36" s="82">
        <v>1503.7</v>
      </c>
      <c r="W36" s="79">
        <v>13520</v>
      </c>
      <c r="X36" s="79">
        <v>0</v>
      </c>
      <c r="Y36" s="76">
        <f t="shared" si="19"/>
        <v>15023.7</v>
      </c>
      <c r="Z36" s="76">
        <v>8.5</v>
      </c>
      <c r="AA36" s="20">
        <f t="shared" si="20"/>
        <v>15032.2</v>
      </c>
      <c r="AB36" s="21">
        <f t="shared" si="12"/>
        <v>1.0597773594749125</v>
      </c>
      <c r="AC36" s="3"/>
      <c r="AD36" s="3"/>
    </row>
    <row r="37" spans="1:30" x14ac:dyDescent="0.25">
      <c r="A37" s="1"/>
      <c r="B37" s="22" t="s">
        <v>67</v>
      </c>
      <c r="C37" s="41" t="s">
        <v>68</v>
      </c>
      <c r="D37" s="79">
        <v>20</v>
      </c>
      <c r="E37" s="79">
        <v>0</v>
      </c>
      <c r="F37" s="79">
        <v>0</v>
      </c>
      <c r="G37" s="76">
        <f t="shared" si="13"/>
        <v>20</v>
      </c>
      <c r="H37" s="76">
        <v>0</v>
      </c>
      <c r="I37" s="20">
        <f t="shared" si="14"/>
        <v>20</v>
      </c>
      <c r="J37" s="426">
        <v>0</v>
      </c>
      <c r="K37" s="427">
        <v>0</v>
      </c>
      <c r="L37" s="427">
        <v>20</v>
      </c>
      <c r="M37" s="361">
        <f t="shared" si="15"/>
        <v>20</v>
      </c>
      <c r="N37" s="361">
        <v>0</v>
      </c>
      <c r="O37" s="333">
        <f t="shared" si="16"/>
        <v>20</v>
      </c>
      <c r="P37" s="80">
        <v>5.9</v>
      </c>
      <c r="Q37" s="79">
        <v>0</v>
      </c>
      <c r="R37" s="79">
        <v>0</v>
      </c>
      <c r="S37" s="76">
        <f t="shared" si="17"/>
        <v>5.9</v>
      </c>
      <c r="T37" s="76">
        <v>0</v>
      </c>
      <c r="U37" s="20">
        <f t="shared" si="18"/>
        <v>5.9</v>
      </c>
      <c r="V37" s="80">
        <v>0</v>
      </c>
      <c r="W37" s="79">
        <v>0</v>
      </c>
      <c r="X37" s="79">
        <v>12</v>
      </c>
      <c r="Y37" s="76">
        <f t="shared" si="19"/>
        <v>12</v>
      </c>
      <c r="Z37" s="76">
        <v>0</v>
      </c>
      <c r="AA37" s="20">
        <f t="shared" si="20"/>
        <v>12</v>
      </c>
      <c r="AB37" s="21">
        <f t="shared" si="12"/>
        <v>0.6</v>
      </c>
      <c r="AC37" s="3"/>
      <c r="AD37" s="3"/>
    </row>
    <row r="38" spans="1:30" x14ac:dyDescent="0.25">
      <c r="A38" s="1"/>
      <c r="B38" s="22" t="s">
        <v>69</v>
      </c>
      <c r="C38" s="41" t="s">
        <v>70</v>
      </c>
      <c r="D38" s="79">
        <v>880</v>
      </c>
      <c r="E38" s="79">
        <v>0</v>
      </c>
      <c r="F38" s="79">
        <v>0</v>
      </c>
      <c r="G38" s="76">
        <f t="shared" si="13"/>
        <v>880</v>
      </c>
      <c r="H38" s="76">
        <v>0</v>
      </c>
      <c r="I38" s="20">
        <f t="shared" si="14"/>
        <v>880</v>
      </c>
      <c r="J38" s="426">
        <v>810.8</v>
      </c>
      <c r="K38" s="427">
        <v>0</v>
      </c>
      <c r="L38" s="427">
        <v>0</v>
      </c>
      <c r="M38" s="361">
        <f t="shared" si="15"/>
        <v>810.8</v>
      </c>
      <c r="N38" s="361">
        <v>0</v>
      </c>
      <c r="O38" s="333">
        <f t="shared" si="16"/>
        <v>810.8</v>
      </c>
      <c r="P38" s="80">
        <v>418</v>
      </c>
      <c r="Q38" s="79">
        <v>0</v>
      </c>
      <c r="R38" s="79">
        <v>0</v>
      </c>
      <c r="S38" s="76">
        <f t="shared" si="17"/>
        <v>418</v>
      </c>
      <c r="T38" s="76">
        <v>0</v>
      </c>
      <c r="U38" s="20">
        <f t="shared" si="18"/>
        <v>418</v>
      </c>
      <c r="V38" s="80">
        <v>816.2</v>
      </c>
      <c r="W38" s="79">
        <v>0</v>
      </c>
      <c r="X38" s="79">
        <v>0</v>
      </c>
      <c r="Y38" s="76">
        <f t="shared" si="19"/>
        <v>816.2</v>
      </c>
      <c r="Z38" s="76">
        <v>0</v>
      </c>
      <c r="AA38" s="20">
        <f t="shared" si="20"/>
        <v>816.2</v>
      </c>
      <c r="AB38" s="21">
        <f t="shared" si="12"/>
        <v>1.0066600888011841</v>
      </c>
      <c r="AC38" s="3"/>
      <c r="AD38" s="3"/>
    </row>
    <row r="39" spans="1:30" ht="15.75" thickBot="1" x14ac:dyDescent="0.3">
      <c r="A39" s="1"/>
      <c r="B39" s="83" t="s">
        <v>71</v>
      </c>
      <c r="C39" s="84" t="s">
        <v>72</v>
      </c>
      <c r="D39" s="85">
        <v>276.7</v>
      </c>
      <c r="E39" s="85">
        <v>1497.7</v>
      </c>
      <c r="F39" s="89">
        <v>364.3</v>
      </c>
      <c r="G39" s="76">
        <f t="shared" si="13"/>
        <v>2138.7000000000003</v>
      </c>
      <c r="H39" s="87">
        <v>0.2</v>
      </c>
      <c r="I39" s="50">
        <f t="shared" si="14"/>
        <v>2138.9</v>
      </c>
      <c r="J39" s="431">
        <v>283</v>
      </c>
      <c r="K39" s="432">
        <v>1098</v>
      </c>
      <c r="L39" s="432">
        <v>250</v>
      </c>
      <c r="M39" s="364">
        <f t="shared" si="15"/>
        <v>1631</v>
      </c>
      <c r="N39" s="364">
        <v>1</v>
      </c>
      <c r="O39" s="351">
        <f t="shared" si="16"/>
        <v>1632</v>
      </c>
      <c r="P39" s="88">
        <v>63.6</v>
      </c>
      <c r="Q39" s="89">
        <v>657.6</v>
      </c>
      <c r="R39" s="89">
        <v>282.7</v>
      </c>
      <c r="S39" s="87">
        <f t="shared" si="17"/>
        <v>1003.9000000000001</v>
      </c>
      <c r="T39" s="87">
        <v>0</v>
      </c>
      <c r="U39" s="50">
        <f t="shared" si="18"/>
        <v>1003.9000000000001</v>
      </c>
      <c r="V39" s="88">
        <v>628.9</v>
      </c>
      <c r="W39" s="89">
        <v>400</v>
      </c>
      <c r="X39" s="89">
        <v>434.1</v>
      </c>
      <c r="Y39" s="87">
        <f t="shared" si="19"/>
        <v>1463</v>
      </c>
      <c r="Z39" s="87">
        <v>1</v>
      </c>
      <c r="AA39" s="50">
        <f t="shared" si="20"/>
        <v>1464</v>
      </c>
      <c r="AB39" s="51">
        <f t="shared" si="12"/>
        <v>0.8970588235294118</v>
      </c>
      <c r="AC39" s="3"/>
      <c r="AD39" s="3"/>
    </row>
    <row r="40" spans="1:30" ht="15.75" thickBot="1" x14ac:dyDescent="0.3">
      <c r="A40" s="1"/>
      <c r="B40" s="52" t="s">
        <v>73</v>
      </c>
      <c r="C40" s="90" t="s">
        <v>74</v>
      </c>
      <c r="D40" s="91">
        <f>SUM(D36:D39)+SUM(D29:D33)</f>
        <v>5838.7999999999993</v>
      </c>
      <c r="E40" s="91">
        <f>SUM(E36:E39)+SUM(E29:E33)</f>
        <v>59844.399999999994</v>
      </c>
      <c r="F40" s="91">
        <f>SUM(F36:F39)+SUM(F29:F33)</f>
        <v>1623.3</v>
      </c>
      <c r="G40" s="92">
        <f>SUM(D40:F40)</f>
        <v>67306.5</v>
      </c>
      <c r="H40" s="93">
        <f>SUM(H29:H33)+SUM(H36:H39)</f>
        <v>409.4</v>
      </c>
      <c r="I40" s="94">
        <f>SUM(I36:I39)+SUM(I29:I33)</f>
        <v>67715.899999999994</v>
      </c>
      <c r="J40" s="365">
        <f>SUM(J36:J39)+SUM(J29:J33)</f>
        <v>5263.2999999999993</v>
      </c>
      <c r="K40" s="365">
        <f>SUM(K36:K39)+SUM(K29:K33)</f>
        <v>57884</v>
      </c>
      <c r="L40" s="365">
        <f>SUM(L36:L39)+SUM(L29:L33)</f>
        <v>1280</v>
      </c>
      <c r="M40" s="366">
        <f>SUM(J40:L40)</f>
        <v>64427.3</v>
      </c>
      <c r="N40" s="367">
        <f>SUM(N29:N33)+SUM(N36:N39)</f>
        <v>440</v>
      </c>
      <c r="O40" s="368">
        <f>SUM(O36:O39)+SUM(O29:O33)</f>
        <v>64867.299999999996</v>
      </c>
      <c r="P40" s="91">
        <f>SUM(P36:P39)+SUM(P29:P33)</f>
        <v>2685.1000000000004</v>
      </c>
      <c r="Q40" s="91">
        <f>SUM(Q36:Q39)+SUM(Q29:Q33)</f>
        <v>32110.9</v>
      </c>
      <c r="R40" s="91">
        <f>SUM(R36:R39)+SUM(R29:R33)</f>
        <v>950.5</v>
      </c>
      <c r="S40" s="92">
        <f>SUM(P40:R40)</f>
        <v>35746.5</v>
      </c>
      <c r="T40" s="93">
        <f>SUM(T29:T33)+SUM(T36:T39)</f>
        <v>29.5</v>
      </c>
      <c r="U40" s="94">
        <f>SUM(U36:U39)+SUM(U29:U33)</f>
        <v>35776</v>
      </c>
      <c r="V40" s="91">
        <f>SUM(V36:V39)+SUM(V29:V33)</f>
        <v>11908.599999999999</v>
      </c>
      <c r="W40" s="91">
        <f>SUM(W36:W39)+SUM(W29:W33)</f>
        <v>53920</v>
      </c>
      <c r="X40" s="91">
        <f>SUM(X36:X39)+SUM(X29:X33)</f>
        <v>1496.1</v>
      </c>
      <c r="Y40" s="92">
        <f>SUM(V40:X40)</f>
        <v>67324.700000000012</v>
      </c>
      <c r="Z40" s="93">
        <f>SUM(Z29:Z33)+SUM(Z36:Z39)</f>
        <v>440</v>
      </c>
      <c r="AA40" s="94">
        <f>SUM(AA36:AA39)+SUM(AA29:AA33)</f>
        <v>67764.700000000012</v>
      </c>
      <c r="AB40" s="95">
        <f t="shared" si="12"/>
        <v>1.0446665731424003</v>
      </c>
      <c r="AC40" s="3"/>
      <c r="AD40" s="3"/>
    </row>
    <row r="41" spans="1:30" ht="19.5" thickBot="1" x14ac:dyDescent="0.35">
      <c r="A41" s="1"/>
      <c r="B41" s="96" t="s">
        <v>75</v>
      </c>
      <c r="C41" s="97" t="s">
        <v>76</v>
      </c>
      <c r="D41" s="98">
        <f t="shared" ref="D41:AA41" si="22">D25-D40</f>
        <v>-353.09999999999945</v>
      </c>
      <c r="E41" s="98">
        <f t="shared" si="22"/>
        <v>0</v>
      </c>
      <c r="F41" s="98">
        <f t="shared" si="22"/>
        <v>353.09999999999991</v>
      </c>
      <c r="G41" s="99">
        <f t="shared" si="22"/>
        <v>0</v>
      </c>
      <c r="H41" s="99">
        <f t="shared" si="22"/>
        <v>243.89999999999998</v>
      </c>
      <c r="I41" s="100">
        <f t="shared" si="22"/>
        <v>243.90000000000873</v>
      </c>
      <c r="J41" s="98">
        <f t="shared" si="22"/>
        <v>0</v>
      </c>
      <c r="K41" s="98">
        <f t="shared" si="22"/>
        <v>0</v>
      </c>
      <c r="L41" s="98">
        <f t="shared" si="22"/>
        <v>0</v>
      </c>
      <c r="M41" s="369">
        <f t="shared" si="22"/>
        <v>0</v>
      </c>
      <c r="N41" s="369">
        <f t="shared" si="22"/>
        <v>0</v>
      </c>
      <c r="O41" s="370">
        <f t="shared" si="22"/>
        <v>0</v>
      </c>
      <c r="P41" s="98">
        <f t="shared" si="22"/>
        <v>35.699999999999818</v>
      </c>
      <c r="Q41" s="98">
        <f t="shared" si="22"/>
        <v>655.79999999999927</v>
      </c>
      <c r="R41" s="98">
        <f t="shared" si="22"/>
        <v>140.09999999999991</v>
      </c>
      <c r="S41" s="99">
        <f t="shared" si="22"/>
        <v>831.59999999999854</v>
      </c>
      <c r="T41" s="99">
        <f t="shared" si="22"/>
        <v>321.7</v>
      </c>
      <c r="U41" s="100">
        <f t="shared" si="22"/>
        <v>1153.3000000000029</v>
      </c>
      <c r="V41" s="98">
        <f t="shared" si="22"/>
        <v>0</v>
      </c>
      <c r="W41" s="98">
        <f t="shared" si="22"/>
        <v>0</v>
      </c>
      <c r="X41" s="98">
        <f t="shared" si="22"/>
        <v>0</v>
      </c>
      <c r="Y41" s="99">
        <f t="shared" si="22"/>
        <v>0</v>
      </c>
      <c r="Z41" s="99">
        <f t="shared" si="22"/>
        <v>0</v>
      </c>
      <c r="AA41" s="100">
        <f t="shared" si="22"/>
        <v>0</v>
      </c>
      <c r="AB41" s="104" t="e">
        <f t="shared" si="12"/>
        <v>#DIV/0!</v>
      </c>
      <c r="AC41" s="3"/>
      <c r="AD41" s="3"/>
    </row>
    <row r="42" spans="1:30" ht="15.75" thickBot="1" x14ac:dyDescent="0.3">
      <c r="A42" s="1"/>
      <c r="B42" s="105" t="s">
        <v>77</v>
      </c>
      <c r="C42" s="106" t="s">
        <v>78</v>
      </c>
      <c r="D42" s="107"/>
      <c r="E42" s="108"/>
      <c r="F42" s="108"/>
      <c r="G42" s="109"/>
      <c r="H42" s="110"/>
      <c r="I42" s="111">
        <f>I41-D16</f>
        <v>-5068.8999999999915</v>
      </c>
      <c r="J42" s="107"/>
      <c r="K42" s="108"/>
      <c r="L42" s="108"/>
      <c r="M42" s="109"/>
      <c r="N42" s="113"/>
      <c r="O42" s="111">
        <f>O41-J16</f>
        <v>-5142.5</v>
      </c>
      <c r="P42" s="107"/>
      <c r="Q42" s="108"/>
      <c r="R42" s="108"/>
      <c r="S42" s="109"/>
      <c r="T42" s="113"/>
      <c r="U42" s="111">
        <f>U41-P16</f>
        <v>-1446.6999999999971</v>
      </c>
      <c r="V42" s="107"/>
      <c r="W42" s="108"/>
      <c r="X42" s="108"/>
      <c r="Y42" s="109"/>
      <c r="Z42" s="113"/>
      <c r="AA42" s="111">
        <f>AA41-V16</f>
        <v>-5290.9</v>
      </c>
      <c r="AB42" s="21">
        <f t="shared" si="12"/>
        <v>1.0288575595527467</v>
      </c>
      <c r="AC42" s="3"/>
      <c r="AD42" s="3"/>
    </row>
    <row r="43" spans="1:30" s="121" customFormat="1" ht="8.25" customHeight="1" thickBot="1" x14ac:dyDescent="0.3">
      <c r="A43" s="115"/>
      <c r="B43" s="116"/>
      <c r="C43" s="117"/>
      <c r="D43" s="118"/>
      <c r="E43" s="119"/>
      <c r="F43" s="119"/>
      <c r="G43" s="115"/>
      <c r="H43" s="119"/>
      <c r="I43" s="119"/>
      <c r="J43" s="118"/>
      <c r="K43" s="119"/>
      <c r="L43" s="119"/>
      <c r="M43" s="115"/>
      <c r="N43" s="119"/>
      <c r="O43" s="119"/>
      <c r="P43" s="119"/>
      <c r="Q43" s="119"/>
      <c r="R43" s="119"/>
      <c r="S43" s="119"/>
      <c r="T43" s="119"/>
      <c r="U43" s="119"/>
      <c r="V43" s="120"/>
      <c r="W43" s="120"/>
      <c r="X43" s="120"/>
      <c r="Y43" s="120"/>
      <c r="Z43" s="120"/>
      <c r="AA43" s="120"/>
      <c r="AB43" s="120"/>
      <c r="AC43" s="120"/>
      <c r="AD43" s="120"/>
    </row>
    <row r="44" spans="1:30" s="121" customFormat="1" ht="15.75" customHeight="1" thickBot="1" x14ac:dyDescent="0.3">
      <c r="A44" s="115"/>
      <c r="B44" s="122"/>
      <c r="C44" s="582" t="s">
        <v>79</v>
      </c>
      <c r="D44" s="123" t="s">
        <v>80</v>
      </c>
      <c r="E44" s="124" t="s">
        <v>81</v>
      </c>
      <c r="F44" s="125" t="s">
        <v>82</v>
      </c>
      <c r="G44" s="119"/>
      <c r="H44" s="119"/>
      <c r="I44" s="126"/>
      <c r="J44" s="123" t="s">
        <v>80</v>
      </c>
      <c r="K44" s="124" t="s">
        <v>81</v>
      </c>
      <c r="L44" s="125" t="s">
        <v>82</v>
      </c>
      <c r="M44" s="119"/>
      <c r="N44" s="119"/>
      <c r="O44" s="119"/>
      <c r="P44" s="123" t="s">
        <v>80</v>
      </c>
      <c r="Q44" s="124" t="s">
        <v>81</v>
      </c>
      <c r="R44" s="125" t="s">
        <v>82</v>
      </c>
      <c r="S44" s="120"/>
      <c r="T44" s="120"/>
      <c r="U44" s="120"/>
      <c r="V44" s="123" t="s">
        <v>80</v>
      </c>
      <c r="W44" s="124" t="s">
        <v>81</v>
      </c>
      <c r="X44" s="125" t="s">
        <v>82</v>
      </c>
      <c r="Y44" s="120"/>
      <c r="Z44" s="120"/>
      <c r="AA44" s="120"/>
      <c r="AB44" s="120"/>
      <c r="AC44" s="120"/>
      <c r="AD44" s="120"/>
    </row>
    <row r="45" spans="1:30" ht="15.75" thickBot="1" x14ac:dyDescent="0.3">
      <c r="A45" s="1"/>
      <c r="B45" s="122"/>
      <c r="C45" s="583"/>
      <c r="D45" s="127">
        <v>603.9</v>
      </c>
      <c r="E45" s="128">
        <v>603.9</v>
      </c>
      <c r="F45" s="129">
        <v>0</v>
      </c>
      <c r="G45" s="119"/>
      <c r="H45" s="119"/>
      <c r="I45" s="126"/>
      <c r="J45" s="127">
        <v>603.9</v>
      </c>
      <c r="K45" s="128">
        <v>603.9</v>
      </c>
      <c r="L45" s="129">
        <v>0</v>
      </c>
      <c r="M45" s="130"/>
      <c r="N45" s="130"/>
      <c r="O45" s="130"/>
      <c r="P45" s="127">
        <v>301.89999999999998</v>
      </c>
      <c r="Q45" s="128">
        <v>301.89999999999998</v>
      </c>
      <c r="R45" s="129">
        <v>0</v>
      </c>
      <c r="S45" s="3"/>
      <c r="T45" s="3"/>
      <c r="U45" s="3"/>
      <c r="V45" s="127">
        <v>603.9</v>
      </c>
      <c r="W45" s="128">
        <v>603.9</v>
      </c>
      <c r="X45" s="129">
        <v>0</v>
      </c>
      <c r="Y45" s="3"/>
      <c r="Z45" s="3"/>
      <c r="AA45" s="3"/>
      <c r="AB45" s="3"/>
      <c r="AC45" s="3"/>
      <c r="AD45" s="3"/>
    </row>
    <row r="46" spans="1:30" s="121" customFormat="1" ht="8.25" customHeight="1" thickBot="1" x14ac:dyDescent="0.3">
      <c r="A46" s="115"/>
      <c r="B46" s="122"/>
      <c r="C46" s="117"/>
      <c r="D46" s="130"/>
      <c r="E46" s="119"/>
      <c r="F46" s="119"/>
      <c r="G46" s="119"/>
      <c r="H46" s="119"/>
      <c r="I46" s="126"/>
      <c r="J46" s="119"/>
      <c r="K46" s="119"/>
      <c r="L46" s="119"/>
      <c r="M46" s="119"/>
      <c r="N46" s="119"/>
      <c r="O46" s="126"/>
      <c r="P46" s="126"/>
      <c r="Q46" s="126"/>
      <c r="R46" s="126"/>
      <c r="S46" s="126"/>
      <c r="T46" s="126"/>
      <c r="U46" s="126"/>
      <c r="V46" s="120"/>
      <c r="W46" s="120"/>
      <c r="X46" s="120"/>
      <c r="Y46" s="120"/>
      <c r="Z46" s="120"/>
      <c r="AA46" s="120"/>
      <c r="AB46" s="120"/>
      <c r="AC46" s="120"/>
      <c r="AD46" s="120"/>
    </row>
    <row r="47" spans="1:30" s="121" customFormat="1" ht="37.5" customHeight="1" thickBot="1" x14ac:dyDescent="0.3">
      <c r="A47" s="115"/>
      <c r="B47" s="122"/>
      <c r="C47" s="582" t="s">
        <v>83</v>
      </c>
      <c r="D47" s="131" t="s">
        <v>84</v>
      </c>
      <c r="E47" s="132" t="s">
        <v>85</v>
      </c>
      <c r="F47" s="119"/>
      <c r="G47" s="119"/>
      <c r="H47" s="119"/>
      <c r="I47" s="126"/>
      <c r="J47" s="131" t="s">
        <v>84</v>
      </c>
      <c r="K47" s="132" t="s">
        <v>85</v>
      </c>
      <c r="L47" s="133"/>
      <c r="M47" s="133"/>
      <c r="N47" s="120"/>
      <c r="O47" s="120"/>
      <c r="P47" s="131" t="s">
        <v>84</v>
      </c>
      <c r="Q47" s="132" t="s">
        <v>85</v>
      </c>
      <c r="R47" s="120"/>
      <c r="S47" s="120"/>
      <c r="T47" s="120"/>
      <c r="U47" s="120"/>
      <c r="V47" s="131" t="s">
        <v>84</v>
      </c>
      <c r="W47" s="132" t="s">
        <v>85</v>
      </c>
      <c r="X47" s="120"/>
      <c r="Y47" s="120"/>
      <c r="Z47" s="120"/>
      <c r="AA47" s="120"/>
      <c r="AB47" s="120"/>
      <c r="AC47" s="120"/>
      <c r="AD47" s="120"/>
    </row>
    <row r="48" spans="1:30" ht="15.75" thickBot="1" x14ac:dyDescent="0.3">
      <c r="A48" s="1"/>
      <c r="B48" s="134"/>
      <c r="C48" s="584"/>
      <c r="D48" s="127">
        <v>0</v>
      </c>
      <c r="E48" s="135">
        <v>0</v>
      </c>
      <c r="F48" s="119"/>
      <c r="G48" s="119"/>
      <c r="H48" s="119"/>
      <c r="I48" s="126"/>
      <c r="J48" s="127">
        <v>0</v>
      </c>
      <c r="K48" s="135">
        <v>0</v>
      </c>
      <c r="L48" s="136"/>
      <c r="M48" s="136"/>
      <c r="N48" s="3"/>
      <c r="O48" s="3"/>
      <c r="P48" s="127">
        <v>0</v>
      </c>
      <c r="Q48" s="135">
        <v>0</v>
      </c>
      <c r="R48" s="3"/>
      <c r="S48" s="3"/>
      <c r="T48" s="3"/>
      <c r="U48" s="3"/>
      <c r="V48" s="127">
        <v>0</v>
      </c>
      <c r="W48" s="135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34"/>
      <c r="C49" s="117"/>
      <c r="D49" s="119"/>
      <c r="E49" s="119"/>
      <c r="F49" s="119"/>
      <c r="G49" s="119"/>
      <c r="H49" s="119"/>
      <c r="I49" s="126"/>
      <c r="J49" s="119"/>
      <c r="K49" s="119"/>
      <c r="L49" s="119"/>
      <c r="M49" s="119"/>
      <c r="N49" s="119"/>
      <c r="O49" s="126"/>
      <c r="P49" s="126"/>
      <c r="Q49" s="126"/>
      <c r="R49" s="126"/>
      <c r="S49" s="126"/>
      <c r="T49" s="126"/>
      <c r="U49" s="126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1"/>
      <c r="B50" s="134"/>
      <c r="C50" s="137" t="s">
        <v>86</v>
      </c>
      <c r="D50" s="138" t="s">
        <v>87</v>
      </c>
      <c r="E50" s="138" t="s">
        <v>88</v>
      </c>
      <c r="F50" s="138" t="s">
        <v>89</v>
      </c>
      <c r="G50" s="138" t="s">
        <v>90</v>
      </c>
      <c r="H50" s="119"/>
      <c r="I50" s="3"/>
      <c r="J50" s="138" t="s">
        <v>87</v>
      </c>
      <c r="K50" s="138" t="s">
        <v>88</v>
      </c>
      <c r="L50" s="138" t="s">
        <v>89</v>
      </c>
      <c r="M50" s="138" t="s">
        <v>91</v>
      </c>
      <c r="N50" s="3"/>
      <c r="O50" s="3"/>
      <c r="P50" s="138" t="s">
        <v>87</v>
      </c>
      <c r="Q50" s="138" t="s">
        <v>88</v>
      </c>
      <c r="R50" s="138" t="s">
        <v>89</v>
      </c>
      <c r="S50" s="138" t="s">
        <v>248</v>
      </c>
      <c r="T50" s="3"/>
      <c r="U50" s="3"/>
      <c r="V50" s="138" t="s">
        <v>92</v>
      </c>
      <c r="W50" s="138" t="s">
        <v>88</v>
      </c>
      <c r="X50" s="138" t="s">
        <v>89</v>
      </c>
      <c r="Y50" s="138" t="s">
        <v>91</v>
      </c>
      <c r="Z50" s="3"/>
      <c r="AA50" s="3"/>
      <c r="AB50" s="3"/>
      <c r="AC50" s="3"/>
      <c r="AD50" s="3"/>
    </row>
    <row r="51" spans="1:30" x14ac:dyDescent="0.25">
      <c r="A51" s="1"/>
      <c r="B51" s="134"/>
      <c r="C51" s="139" t="s">
        <v>93</v>
      </c>
      <c r="D51" s="140">
        <f>SUM(D52:D55)</f>
        <v>4053.7</v>
      </c>
      <c r="E51" s="140">
        <f t="shared" ref="E51:F51" si="23">SUM(E52:E55)</f>
        <v>3271.7</v>
      </c>
      <c r="F51" s="140">
        <f t="shared" si="23"/>
        <v>3672.7999999999993</v>
      </c>
      <c r="G51" s="141">
        <f>D51+E51-F51</f>
        <v>3652.6000000000004</v>
      </c>
      <c r="H51" s="119"/>
      <c r="I51" s="3"/>
      <c r="J51" s="141">
        <f>SUM(J52:J55)</f>
        <v>820</v>
      </c>
      <c r="K51" s="141">
        <f t="shared" ref="K51:L51" si="24">SUM(K52:K55)</f>
        <v>1510.8</v>
      </c>
      <c r="L51" s="141">
        <f t="shared" si="24"/>
        <v>1500</v>
      </c>
      <c r="M51" s="141">
        <f>J51+K51-L51</f>
        <v>830.80000000000018</v>
      </c>
      <c r="N51" s="3"/>
      <c r="O51" s="3"/>
      <c r="P51" s="140">
        <f>SUM(P52:P55)</f>
        <v>3652.6</v>
      </c>
      <c r="Q51" s="140">
        <f t="shared" ref="Q51:R51" si="25">SUM(Q52:Q55)</f>
        <v>1282.6000000000001</v>
      </c>
      <c r="R51" s="140">
        <f t="shared" si="25"/>
        <v>2164.5</v>
      </c>
      <c r="S51" s="141">
        <f>P51+Q51-R51</f>
        <v>2770.7</v>
      </c>
      <c r="T51" s="3"/>
      <c r="U51" s="3"/>
      <c r="V51" s="140">
        <f>SUM(V52:V55)</f>
        <v>1350</v>
      </c>
      <c r="W51" s="140">
        <f t="shared" ref="W51:X51" si="26">SUM(W52:W55)</f>
        <v>1516.6</v>
      </c>
      <c r="X51" s="140">
        <f t="shared" si="26"/>
        <v>1500</v>
      </c>
      <c r="Y51" s="141">
        <f>V51+W51-X51</f>
        <v>1366.6</v>
      </c>
      <c r="Z51" s="3"/>
      <c r="AA51" s="3"/>
      <c r="AB51" s="3"/>
      <c r="AC51" s="3"/>
      <c r="AD51" s="3"/>
    </row>
    <row r="52" spans="1:30" x14ac:dyDescent="0.25">
      <c r="A52" s="1"/>
      <c r="B52" s="134"/>
      <c r="C52" s="139" t="s">
        <v>94</v>
      </c>
      <c r="D52" s="140">
        <v>1946</v>
      </c>
      <c r="E52" s="140">
        <v>1929.4</v>
      </c>
      <c r="F52" s="140">
        <v>2219.1</v>
      </c>
      <c r="G52" s="141">
        <f t="shared" ref="G52:G55" si="27">D52+E52-F52</f>
        <v>1656.3000000000002</v>
      </c>
      <c r="H52" s="119"/>
      <c r="I52" s="3"/>
      <c r="J52" s="141">
        <v>0</v>
      </c>
      <c r="K52" s="140">
        <v>300</v>
      </c>
      <c r="L52" s="140">
        <v>300</v>
      </c>
      <c r="M52" s="141">
        <f t="shared" ref="M52:M55" si="28">J52+K52-L52</f>
        <v>0</v>
      </c>
      <c r="N52" s="3"/>
      <c r="O52" s="3"/>
      <c r="P52" s="140">
        <v>1656.3</v>
      </c>
      <c r="Q52" s="140">
        <v>591.29999999999995</v>
      </c>
      <c r="R52" s="140">
        <v>1710.8</v>
      </c>
      <c r="S52" s="141">
        <f t="shared" ref="S52:S55" si="29">P52+Q52-R52</f>
        <v>536.79999999999995</v>
      </c>
      <c r="T52" s="3"/>
      <c r="U52" s="3"/>
      <c r="V52" s="140">
        <v>0</v>
      </c>
      <c r="W52" s="140">
        <v>300</v>
      </c>
      <c r="X52" s="140">
        <v>300</v>
      </c>
      <c r="Y52" s="141">
        <f t="shared" ref="Y52:Y55" si="30">V52+W52-X52</f>
        <v>0</v>
      </c>
      <c r="Z52" s="3"/>
      <c r="AA52" s="3"/>
      <c r="AB52" s="3"/>
      <c r="AC52" s="3"/>
      <c r="AD52" s="3"/>
    </row>
    <row r="53" spans="1:30" x14ac:dyDescent="0.25">
      <c r="A53" s="1"/>
      <c r="B53" s="134"/>
      <c r="C53" s="139" t="s">
        <v>95</v>
      </c>
      <c r="D53" s="140">
        <v>1254</v>
      </c>
      <c r="E53" s="140">
        <v>880.1</v>
      </c>
      <c r="F53" s="140">
        <v>751.3</v>
      </c>
      <c r="G53" s="141">
        <f t="shared" si="27"/>
        <v>1382.8</v>
      </c>
      <c r="H53" s="119"/>
      <c r="I53" s="3"/>
      <c r="J53" s="141">
        <v>800</v>
      </c>
      <c r="K53" s="140">
        <v>810.8</v>
      </c>
      <c r="L53" s="140">
        <v>800</v>
      </c>
      <c r="M53" s="141">
        <f t="shared" si="28"/>
        <v>810.8</v>
      </c>
      <c r="N53" s="3"/>
      <c r="O53" s="3"/>
      <c r="P53" s="140">
        <v>1382.8</v>
      </c>
      <c r="Q53" s="140">
        <v>418.1</v>
      </c>
      <c r="R53" s="140">
        <v>301.89999999999998</v>
      </c>
      <c r="S53" s="141">
        <f t="shared" si="29"/>
        <v>1499</v>
      </c>
      <c r="T53" s="3"/>
      <c r="U53" s="3"/>
      <c r="V53" s="140">
        <v>1200</v>
      </c>
      <c r="W53" s="140">
        <v>816.2</v>
      </c>
      <c r="X53" s="140">
        <v>800</v>
      </c>
      <c r="Y53" s="141">
        <f t="shared" si="30"/>
        <v>1216.2</v>
      </c>
      <c r="Z53" s="3"/>
      <c r="AA53" s="3"/>
      <c r="AB53" s="3"/>
      <c r="AC53" s="3"/>
      <c r="AD53" s="3"/>
    </row>
    <row r="54" spans="1:30" x14ac:dyDescent="0.25">
      <c r="A54" s="1"/>
      <c r="B54" s="134"/>
      <c r="C54" s="139" t="s">
        <v>96</v>
      </c>
      <c r="D54" s="140">
        <v>332.7</v>
      </c>
      <c r="E54" s="140">
        <v>30</v>
      </c>
      <c r="F54" s="140">
        <v>20.6</v>
      </c>
      <c r="G54" s="141">
        <f t="shared" si="27"/>
        <v>342.09999999999997</v>
      </c>
      <c r="H54" s="119"/>
      <c r="I54" s="3"/>
      <c r="J54" s="141">
        <v>0</v>
      </c>
      <c r="K54" s="140">
        <v>0</v>
      </c>
      <c r="L54" s="140">
        <v>0</v>
      </c>
      <c r="M54" s="141">
        <f t="shared" si="28"/>
        <v>0</v>
      </c>
      <c r="N54" s="3"/>
      <c r="O54" s="3"/>
      <c r="P54" s="140">
        <v>342.1</v>
      </c>
      <c r="Q54" s="140">
        <v>48.8</v>
      </c>
      <c r="R54" s="140">
        <v>0</v>
      </c>
      <c r="S54" s="141">
        <f t="shared" si="29"/>
        <v>390.90000000000003</v>
      </c>
      <c r="T54" s="3"/>
      <c r="U54" s="3"/>
      <c r="V54" s="140">
        <v>0</v>
      </c>
      <c r="W54" s="140">
        <v>0</v>
      </c>
      <c r="X54" s="140">
        <v>0</v>
      </c>
      <c r="Y54" s="141">
        <f t="shared" si="30"/>
        <v>0</v>
      </c>
      <c r="Z54" s="3"/>
      <c r="AA54" s="3"/>
      <c r="AB54" s="3"/>
      <c r="AC54" s="3"/>
      <c r="AD54" s="3"/>
    </row>
    <row r="55" spans="1:30" x14ac:dyDescent="0.25">
      <c r="A55" s="1"/>
      <c r="B55" s="134"/>
      <c r="C55" s="142" t="s">
        <v>97</v>
      </c>
      <c r="D55" s="140">
        <v>521</v>
      </c>
      <c r="E55" s="140">
        <v>432.2</v>
      </c>
      <c r="F55" s="140">
        <v>681.8</v>
      </c>
      <c r="G55" s="141">
        <f t="shared" si="27"/>
        <v>271.40000000000009</v>
      </c>
      <c r="H55" s="119"/>
      <c r="I55" s="3"/>
      <c r="J55" s="141">
        <v>20</v>
      </c>
      <c r="K55" s="140">
        <v>400</v>
      </c>
      <c r="L55" s="140">
        <v>400</v>
      </c>
      <c r="M55" s="141">
        <f t="shared" si="28"/>
        <v>20</v>
      </c>
      <c r="N55" s="3"/>
      <c r="O55" s="3"/>
      <c r="P55" s="140">
        <v>271.39999999999998</v>
      </c>
      <c r="Q55" s="140">
        <v>224.4</v>
      </c>
      <c r="R55" s="140">
        <v>151.80000000000001</v>
      </c>
      <c r="S55" s="141">
        <f t="shared" si="29"/>
        <v>343.99999999999994</v>
      </c>
      <c r="T55" s="3"/>
      <c r="U55" s="3"/>
      <c r="V55" s="140">
        <v>150</v>
      </c>
      <c r="W55" s="140">
        <v>400.4</v>
      </c>
      <c r="X55" s="140">
        <v>400</v>
      </c>
      <c r="Y55" s="141">
        <f t="shared" si="30"/>
        <v>150.39999999999998</v>
      </c>
      <c r="Z55" s="472"/>
      <c r="AA55" s="3"/>
      <c r="AB55" s="3"/>
      <c r="AC55" s="3"/>
      <c r="AD55" s="3"/>
    </row>
    <row r="56" spans="1:30" ht="10.5" customHeight="1" x14ac:dyDescent="0.25">
      <c r="A56" s="1"/>
      <c r="B56" s="134"/>
      <c r="C56" s="117"/>
      <c r="D56" s="119"/>
      <c r="E56" s="119"/>
      <c r="F56" s="119"/>
      <c r="G56" s="119"/>
      <c r="H56" s="11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34"/>
      <c r="C57" s="137" t="s">
        <v>98</v>
      </c>
      <c r="D57" s="138" t="s">
        <v>99</v>
      </c>
      <c r="E57" s="138" t="s">
        <v>100</v>
      </c>
      <c r="F57" s="119"/>
      <c r="G57" s="119"/>
      <c r="H57" s="119"/>
      <c r="I57" s="126"/>
      <c r="J57" s="138" t="s">
        <v>101</v>
      </c>
      <c r="K57" s="119"/>
      <c r="L57" s="119"/>
      <c r="M57" s="119"/>
      <c r="N57" s="119"/>
      <c r="O57" s="126"/>
      <c r="P57" s="138" t="s">
        <v>102</v>
      </c>
      <c r="Q57" s="126"/>
      <c r="R57" s="126"/>
      <c r="S57" s="472"/>
      <c r="T57" s="3"/>
      <c r="U57" s="3"/>
      <c r="V57" s="704" t="s">
        <v>98</v>
      </c>
      <c r="W57" s="704"/>
      <c r="X57" s="704"/>
      <c r="Y57" s="138" t="s">
        <v>101</v>
      </c>
      <c r="Z57" s="3"/>
      <c r="AA57" s="3"/>
      <c r="AB57" s="3"/>
      <c r="AC57" s="3"/>
      <c r="AD57" s="3"/>
    </row>
    <row r="58" spans="1:30" x14ac:dyDescent="0.25">
      <c r="A58" s="1"/>
      <c r="B58" s="134"/>
      <c r="C58" s="371" t="s">
        <v>128</v>
      </c>
      <c r="D58" s="372">
        <v>80.3</v>
      </c>
      <c r="E58" s="372">
        <v>83.1</v>
      </c>
      <c r="F58" s="119"/>
      <c r="G58" s="119"/>
      <c r="H58" s="119"/>
      <c r="I58" s="126"/>
      <c r="J58" s="143">
        <v>80.3</v>
      </c>
      <c r="K58" s="119"/>
      <c r="L58" s="119"/>
      <c r="M58" s="119"/>
      <c r="N58" s="119"/>
      <c r="O58" s="126"/>
      <c r="P58" s="143">
        <v>81.400000000000006</v>
      </c>
      <c r="Q58" s="126"/>
      <c r="R58" s="126"/>
      <c r="S58" s="3"/>
      <c r="T58" s="3"/>
      <c r="U58" s="3"/>
      <c r="V58" s="698" t="s">
        <v>128</v>
      </c>
      <c r="W58" s="698"/>
      <c r="X58" s="698"/>
      <c r="Y58" s="143">
        <v>82.13</v>
      </c>
      <c r="Z58" s="3"/>
      <c r="AA58" s="3"/>
      <c r="AB58" s="3"/>
      <c r="AC58" s="3"/>
      <c r="AD58" s="3"/>
    </row>
    <row r="59" spans="1:30" x14ac:dyDescent="0.25">
      <c r="A59" s="1"/>
      <c r="B59" s="134"/>
      <c r="C59" s="373"/>
      <c r="D59" s="374"/>
      <c r="E59" s="374"/>
      <c r="F59" s="119"/>
      <c r="G59" s="119"/>
      <c r="H59" s="119"/>
      <c r="I59" s="126"/>
      <c r="J59" s="130"/>
      <c r="K59" s="119"/>
      <c r="L59" s="119"/>
      <c r="M59" s="119"/>
      <c r="N59" s="119"/>
      <c r="O59" s="126"/>
      <c r="P59" s="130"/>
      <c r="Q59" s="126"/>
      <c r="R59" s="126"/>
      <c r="S59" s="3"/>
      <c r="T59" s="3"/>
      <c r="U59" s="3"/>
      <c r="V59" s="698" t="s">
        <v>249</v>
      </c>
      <c r="W59" s="698"/>
      <c r="X59" s="698"/>
      <c r="Y59" s="143">
        <v>11.5</v>
      </c>
      <c r="Z59" s="3"/>
      <c r="AA59" s="3"/>
      <c r="AB59" s="3"/>
      <c r="AC59" s="3"/>
      <c r="AD59" s="3"/>
    </row>
    <row r="60" spans="1:30" s="3" customFormat="1" x14ac:dyDescent="0.25">
      <c r="A60" s="1"/>
      <c r="B60" s="134"/>
      <c r="C60" s="117"/>
      <c r="D60" s="130"/>
      <c r="E60" s="130"/>
      <c r="F60" s="119"/>
      <c r="G60" s="119"/>
      <c r="H60" s="119"/>
      <c r="I60" s="126"/>
      <c r="J60" s="130"/>
      <c r="K60" s="119"/>
      <c r="L60" s="119"/>
      <c r="M60" s="119"/>
      <c r="N60" s="119"/>
      <c r="O60" s="126"/>
      <c r="P60" s="130"/>
      <c r="Q60" s="126"/>
      <c r="R60" s="126"/>
      <c r="S60" s="126"/>
      <c r="T60" s="126"/>
      <c r="U60" s="126"/>
      <c r="V60" s="130"/>
    </row>
    <row r="61" spans="1:30" x14ac:dyDescent="0.25">
      <c r="A61" s="1"/>
      <c r="B61" s="134"/>
      <c r="C61" s="117"/>
      <c r="D61" s="699"/>
      <c r="E61" s="699"/>
      <c r="F61" s="119"/>
      <c r="G61" s="119"/>
      <c r="H61" s="119"/>
      <c r="I61" s="126"/>
      <c r="J61" s="375"/>
      <c r="K61" s="119"/>
      <c r="L61" s="119"/>
      <c r="M61" s="119"/>
      <c r="N61" s="119"/>
      <c r="O61" s="126"/>
      <c r="P61" s="375"/>
      <c r="Q61" s="126"/>
      <c r="R61" s="126"/>
      <c r="S61" s="126"/>
      <c r="T61" s="126"/>
      <c r="U61" s="126"/>
      <c r="V61" s="730" t="s">
        <v>130</v>
      </c>
      <c r="W61" s="731"/>
      <c r="X61" s="732"/>
      <c r="Y61" s="143">
        <v>4448.8</v>
      </c>
      <c r="Z61" s="3"/>
      <c r="AA61" s="3"/>
      <c r="AB61" s="3"/>
      <c r="AC61" s="3"/>
      <c r="AD61" s="3"/>
    </row>
    <row r="62" spans="1:30" x14ac:dyDescent="0.25">
      <c r="A62" s="1"/>
      <c r="B62" s="134"/>
      <c r="C62" s="117"/>
      <c r="D62" s="375"/>
      <c r="E62" s="375"/>
      <c r="F62" s="119"/>
      <c r="G62" s="119"/>
      <c r="H62" s="119"/>
      <c r="I62" s="126"/>
      <c r="J62" s="375"/>
      <c r="K62" s="119"/>
      <c r="L62" s="119"/>
      <c r="M62" s="119"/>
      <c r="N62" s="119"/>
      <c r="O62" s="126"/>
      <c r="P62" s="375"/>
      <c r="Q62" s="126"/>
      <c r="R62" s="126"/>
      <c r="S62" s="126"/>
      <c r="T62" s="126"/>
      <c r="U62" s="126"/>
      <c r="V62" s="730" t="s">
        <v>250</v>
      </c>
      <c r="W62" s="731"/>
      <c r="X62" s="732"/>
      <c r="Y62" s="143">
        <v>519.20000000000005</v>
      </c>
      <c r="Z62" s="3"/>
      <c r="AA62" s="3"/>
      <c r="AB62" s="3"/>
      <c r="AC62" s="3"/>
      <c r="AD62" s="3"/>
    </row>
    <row r="63" spans="1:30" x14ac:dyDescent="0.25">
      <c r="A63" s="1"/>
      <c r="B63" s="134"/>
      <c r="C63" s="117"/>
      <c r="D63" s="375"/>
      <c r="E63" s="375"/>
      <c r="F63" s="119"/>
      <c r="G63" s="119"/>
      <c r="H63" s="119"/>
      <c r="I63" s="126"/>
      <c r="J63" s="375"/>
      <c r="K63" s="119"/>
      <c r="L63" s="119"/>
      <c r="M63" s="119"/>
      <c r="N63" s="119"/>
      <c r="O63" s="126"/>
      <c r="P63" s="375"/>
      <c r="Q63" s="126"/>
      <c r="R63" s="126"/>
      <c r="S63" s="126"/>
      <c r="T63" s="126"/>
      <c r="U63" s="126"/>
      <c r="V63" s="730" t="s">
        <v>251</v>
      </c>
      <c r="W63" s="731"/>
      <c r="X63" s="732"/>
      <c r="Y63" s="479">
        <v>0</v>
      </c>
      <c r="Z63" s="3"/>
      <c r="AA63" s="3"/>
      <c r="AB63" s="3"/>
      <c r="AC63" s="3"/>
      <c r="AD63" s="3"/>
    </row>
    <row r="64" spans="1:30" x14ac:dyDescent="0.25">
      <c r="A64" s="1"/>
      <c r="B64" s="134"/>
      <c r="C64" s="117"/>
      <c r="D64" s="375"/>
      <c r="E64" s="375"/>
      <c r="F64" s="119"/>
      <c r="G64" s="119"/>
      <c r="H64" s="119"/>
      <c r="I64" s="126"/>
      <c r="J64" s="375"/>
      <c r="K64" s="119"/>
      <c r="L64" s="119"/>
      <c r="M64" s="119"/>
      <c r="N64" s="119"/>
      <c r="O64" s="126"/>
      <c r="P64" s="375"/>
      <c r="Q64" s="126"/>
      <c r="R64" s="126"/>
      <c r="S64" s="126"/>
      <c r="T64" s="126"/>
      <c r="U64" s="126"/>
      <c r="V64" s="738" t="s">
        <v>168</v>
      </c>
      <c r="W64" s="739"/>
      <c r="X64" s="740"/>
      <c r="Y64" s="479">
        <f>SUM(Y61:Y63)</f>
        <v>4968</v>
      </c>
      <c r="Z64" s="3"/>
      <c r="AA64" s="3"/>
      <c r="AB64" s="3"/>
      <c r="AC64" s="3"/>
      <c r="AD64" s="3"/>
    </row>
    <row r="65" spans="1:30" s="3" customFormat="1" x14ac:dyDescent="0.25">
      <c r="A65" s="1"/>
      <c r="B65" s="134"/>
      <c r="C65" s="117"/>
      <c r="D65" s="375"/>
      <c r="E65" s="375"/>
      <c r="F65" s="119"/>
      <c r="G65" s="119"/>
      <c r="H65" s="119"/>
      <c r="I65" s="126"/>
      <c r="J65" s="375"/>
      <c r="K65" s="119"/>
      <c r="L65" s="119"/>
      <c r="M65" s="119"/>
      <c r="N65" s="119"/>
      <c r="O65" s="126"/>
      <c r="P65" s="375"/>
      <c r="Q65" s="126"/>
      <c r="R65" s="126"/>
      <c r="S65" s="126"/>
      <c r="T65" s="126"/>
      <c r="U65" s="126"/>
      <c r="V65" s="130"/>
    </row>
    <row r="66" spans="1:30" x14ac:dyDescent="0.25">
      <c r="A66" s="1"/>
      <c r="B66" s="134"/>
      <c r="C66" s="3"/>
      <c r="D66" s="3"/>
      <c r="E66" s="3"/>
      <c r="F66" s="118"/>
      <c r="G66" s="119"/>
      <c r="H66" s="119"/>
      <c r="I66" s="126"/>
      <c r="J66" s="375"/>
      <c r="K66" s="375"/>
      <c r="L66" s="3"/>
      <c r="M66" s="376"/>
      <c r="N66" s="3"/>
      <c r="O66" s="3"/>
      <c r="P66" s="3"/>
      <c r="Q66" s="118"/>
      <c r="R66" s="3"/>
      <c r="S66" s="3"/>
      <c r="T66" s="3"/>
      <c r="U66" s="703" t="s">
        <v>131</v>
      </c>
      <c r="V66" s="703"/>
      <c r="W66" s="703"/>
      <c r="X66" s="703"/>
      <c r="Y66" s="377" t="s">
        <v>132</v>
      </c>
      <c r="Z66" s="3"/>
      <c r="AA66" s="378" t="s">
        <v>133</v>
      </c>
      <c r="AB66" s="379"/>
      <c r="AC66" s="3"/>
      <c r="AD66" s="4"/>
    </row>
    <row r="67" spans="1:30" x14ac:dyDescent="0.25">
      <c r="A67" s="1"/>
      <c r="B67" s="134"/>
      <c r="C67" s="3"/>
      <c r="D67" s="3"/>
      <c r="E67" s="3"/>
      <c r="F67" s="119"/>
      <c r="G67" s="119"/>
      <c r="H67" s="119"/>
      <c r="I67" s="126"/>
      <c r="J67" s="375"/>
      <c r="K67" s="375"/>
      <c r="L67" s="3"/>
      <c r="M67" s="376"/>
      <c r="N67" s="3"/>
      <c r="O67" s="3"/>
      <c r="P67" s="3"/>
      <c r="Q67" s="119"/>
      <c r="R67" s="3"/>
      <c r="S67" s="3"/>
      <c r="T67" s="3"/>
      <c r="U67" s="698" t="s">
        <v>134</v>
      </c>
      <c r="V67" s="698"/>
      <c r="W67" s="698"/>
      <c r="X67" s="698"/>
      <c r="Y67" s="380">
        <v>4448.8</v>
      </c>
      <c r="Z67" s="3"/>
      <c r="AA67" s="381" t="s">
        <v>135</v>
      </c>
      <c r="AB67" s="382">
        <v>433.2</v>
      </c>
      <c r="AC67" s="3"/>
      <c r="AD67" s="4"/>
    </row>
    <row r="68" spans="1:30" x14ac:dyDescent="0.25">
      <c r="A68" s="1"/>
      <c r="B68" s="134"/>
      <c r="C68" s="3"/>
      <c r="D68" s="3"/>
      <c r="E68" s="3"/>
      <c r="F68" s="119"/>
      <c r="G68" s="119"/>
      <c r="H68" s="119"/>
      <c r="I68" s="126"/>
      <c r="J68" s="375"/>
      <c r="K68" s="375"/>
      <c r="L68" s="3"/>
      <c r="M68" s="376"/>
      <c r="N68" s="3"/>
      <c r="O68" s="3"/>
      <c r="P68" s="3"/>
      <c r="Q68" s="119"/>
      <c r="R68" s="3"/>
      <c r="S68" s="3"/>
      <c r="T68" s="3"/>
      <c r="U68" s="698" t="s">
        <v>136</v>
      </c>
      <c r="V68" s="698"/>
      <c r="W68" s="698"/>
      <c r="X68" s="698"/>
      <c r="Y68" s="380">
        <v>1503.7</v>
      </c>
      <c r="Z68" s="3"/>
      <c r="AA68" s="381" t="s">
        <v>137</v>
      </c>
      <c r="AB68" s="382">
        <v>70.3</v>
      </c>
      <c r="AC68" s="3"/>
      <c r="AD68" s="4"/>
    </row>
    <row r="69" spans="1:30" x14ac:dyDescent="0.25">
      <c r="A69" s="1"/>
      <c r="B69" s="134"/>
      <c r="C69" s="3"/>
      <c r="D69" s="3"/>
      <c r="E69" s="3"/>
      <c r="F69" s="119"/>
      <c r="G69" s="119"/>
      <c r="H69" s="119"/>
      <c r="I69" s="126"/>
      <c r="J69" s="375"/>
      <c r="K69" s="375"/>
      <c r="L69" s="3"/>
      <c r="M69" s="376"/>
      <c r="N69" s="3"/>
      <c r="O69" s="3"/>
      <c r="P69" s="3"/>
      <c r="Q69" s="119"/>
      <c r="R69" s="3"/>
      <c r="S69" s="3"/>
      <c r="T69" s="3"/>
      <c r="U69" s="698" t="s">
        <v>230</v>
      </c>
      <c r="V69" s="698"/>
      <c r="W69" s="698"/>
      <c r="X69" s="698"/>
      <c r="Y69" s="380">
        <v>0</v>
      </c>
      <c r="Z69" s="3"/>
      <c r="AA69" s="381" t="s">
        <v>139</v>
      </c>
      <c r="AB69" s="382">
        <v>628.70000000000005</v>
      </c>
      <c r="AC69" s="3"/>
      <c r="AD69" s="4"/>
    </row>
    <row r="70" spans="1:30" x14ac:dyDescent="0.25">
      <c r="A70" s="3"/>
      <c r="B70" s="3"/>
      <c r="C70" s="3"/>
      <c r="D70" s="3"/>
      <c r="E70" s="3"/>
      <c r="F70" s="120"/>
      <c r="G70" s="3"/>
      <c r="H70" s="3"/>
      <c r="I70" s="3"/>
      <c r="J70" s="120"/>
      <c r="K70" s="120"/>
      <c r="L70" s="3"/>
      <c r="M70" s="376"/>
      <c r="N70" s="3"/>
      <c r="O70" s="3"/>
      <c r="P70" s="3"/>
      <c r="Q70" s="3"/>
      <c r="R70" s="3"/>
      <c r="S70" s="3"/>
      <c r="T70" s="3"/>
      <c r="U70" s="698" t="s">
        <v>140</v>
      </c>
      <c r="V70" s="698"/>
      <c r="W70" s="698"/>
      <c r="X70" s="698"/>
      <c r="Y70" s="380">
        <v>44.5</v>
      </c>
      <c r="Z70" s="3"/>
      <c r="AA70" s="3"/>
      <c r="AB70" s="472"/>
      <c r="AC70" s="3"/>
      <c r="AD70" s="4"/>
    </row>
    <row r="71" spans="1:30" x14ac:dyDescent="0.25">
      <c r="A71" s="1"/>
      <c r="B71" s="134"/>
      <c r="C71" s="3"/>
      <c r="D71" s="3"/>
      <c r="E71" s="3"/>
      <c r="F71" s="119"/>
      <c r="G71" s="119"/>
      <c r="H71" s="119"/>
      <c r="I71" s="126"/>
      <c r="J71" s="136"/>
      <c r="K71" s="136"/>
      <c r="L71" s="3"/>
      <c r="M71" s="376"/>
      <c r="N71" s="3"/>
      <c r="O71" s="3"/>
      <c r="P71" s="3"/>
      <c r="Q71" s="119"/>
      <c r="R71" s="3"/>
      <c r="S71" s="3"/>
      <c r="T71" s="3"/>
      <c r="U71" s="698" t="s">
        <v>141</v>
      </c>
      <c r="V71" s="698"/>
      <c r="W71" s="698"/>
      <c r="X71" s="698"/>
      <c r="Y71" s="477">
        <f>SUM(Y72:Y75)</f>
        <v>570.70000000000005</v>
      </c>
      <c r="Z71" s="3"/>
      <c r="AA71" s="3"/>
      <c r="AB71" s="3"/>
      <c r="AC71" s="3"/>
      <c r="AD71" s="4"/>
    </row>
    <row r="72" spans="1:30" x14ac:dyDescent="0.25">
      <c r="A72" s="1"/>
      <c r="B72" s="134"/>
      <c r="C72" s="3"/>
      <c r="D72" s="3"/>
      <c r="E72" s="3"/>
      <c r="F72" s="119"/>
      <c r="G72" s="119"/>
      <c r="H72" s="119"/>
      <c r="I72" s="126"/>
      <c r="J72" s="375"/>
      <c r="K72" s="375"/>
      <c r="L72" s="3"/>
      <c r="M72" s="376"/>
      <c r="N72" s="3"/>
      <c r="O72" s="3"/>
      <c r="P72" s="3"/>
      <c r="Q72" s="119"/>
      <c r="R72" s="3"/>
      <c r="S72" s="3"/>
      <c r="T72" s="3"/>
      <c r="U72" s="697" t="s">
        <v>142</v>
      </c>
      <c r="V72" s="697"/>
      <c r="W72" s="697"/>
      <c r="X72" s="697"/>
      <c r="Y72" s="380">
        <v>285</v>
      </c>
      <c r="Z72" s="3"/>
      <c r="AA72" s="3"/>
      <c r="AB72" s="3"/>
      <c r="AC72" s="3"/>
      <c r="AD72" s="4"/>
    </row>
    <row r="73" spans="1:30" x14ac:dyDescent="0.25">
      <c r="A73" s="1"/>
      <c r="B73" s="134"/>
      <c r="C73" s="3"/>
      <c r="D73" s="3"/>
      <c r="E73" s="3"/>
      <c r="F73" s="119"/>
      <c r="G73" s="119"/>
      <c r="H73" s="119"/>
      <c r="I73" s="126"/>
      <c r="J73" s="375"/>
      <c r="K73" s="375"/>
      <c r="L73" s="3"/>
      <c r="M73" s="376"/>
      <c r="N73" s="3"/>
      <c r="O73" s="3"/>
      <c r="P73" s="3"/>
      <c r="Q73" s="119"/>
      <c r="R73" s="3"/>
      <c r="S73" s="3"/>
      <c r="T73" s="3"/>
      <c r="U73" s="697" t="s">
        <v>143</v>
      </c>
      <c r="V73" s="697"/>
      <c r="W73" s="697"/>
      <c r="X73" s="697"/>
      <c r="Y73" s="380">
        <v>30</v>
      </c>
      <c r="Z73" s="3"/>
      <c r="AA73" s="3"/>
      <c r="AB73" s="3"/>
      <c r="AC73" s="3"/>
      <c r="AD73" s="4"/>
    </row>
    <row r="74" spans="1:30" x14ac:dyDescent="0.25">
      <c r="A74" s="1"/>
      <c r="B74" s="134"/>
      <c r="C74" s="3"/>
      <c r="D74" s="3"/>
      <c r="E74" s="3"/>
      <c r="F74" s="119"/>
      <c r="G74" s="119"/>
      <c r="H74" s="119"/>
      <c r="I74" s="126"/>
      <c r="J74" s="375"/>
      <c r="K74" s="375"/>
      <c r="L74" s="3"/>
      <c r="M74" s="376"/>
      <c r="N74" s="3"/>
      <c r="O74" s="3"/>
      <c r="P74" s="3"/>
      <c r="Q74" s="119"/>
      <c r="R74" s="3"/>
      <c r="S74" s="3"/>
      <c r="T74" s="3"/>
      <c r="U74" s="697" t="s">
        <v>144</v>
      </c>
      <c r="V74" s="697"/>
      <c r="W74" s="697"/>
      <c r="X74" s="697"/>
      <c r="Y74" s="380">
        <v>20</v>
      </c>
      <c r="Z74" s="3"/>
      <c r="AA74" s="3"/>
      <c r="AB74" s="3"/>
      <c r="AC74" s="3"/>
      <c r="AD74" s="4"/>
    </row>
    <row r="75" spans="1:30" x14ac:dyDescent="0.25">
      <c r="A75" s="1"/>
      <c r="B75" s="134"/>
      <c r="C75" s="3"/>
      <c r="D75" s="3"/>
      <c r="E75" s="3"/>
      <c r="F75" s="119"/>
      <c r="G75" s="119"/>
      <c r="H75" s="119"/>
      <c r="I75" s="126"/>
      <c r="J75" s="375"/>
      <c r="K75" s="375"/>
      <c r="L75" s="3"/>
      <c r="M75" s="376"/>
      <c r="N75" s="3"/>
      <c r="O75" s="3"/>
      <c r="P75" s="3"/>
      <c r="Q75" s="119"/>
      <c r="R75" s="3"/>
      <c r="S75" s="3"/>
      <c r="T75" s="3"/>
      <c r="U75" s="697" t="s">
        <v>145</v>
      </c>
      <c r="V75" s="697"/>
      <c r="W75" s="697"/>
      <c r="X75" s="697"/>
      <c r="Y75" s="380">
        <v>235.7</v>
      </c>
      <c r="Z75" s="3"/>
      <c r="AA75" s="3"/>
      <c r="AB75" s="3"/>
      <c r="AC75" s="3"/>
      <c r="AD75" s="4"/>
    </row>
    <row r="76" spans="1:30" x14ac:dyDescent="0.25">
      <c r="A76" s="1"/>
      <c r="B76" s="134"/>
      <c r="C76" s="383"/>
      <c r="D76" s="119"/>
      <c r="E76" s="119"/>
      <c r="F76" s="119"/>
      <c r="G76" s="119"/>
      <c r="H76" s="119"/>
      <c r="I76" s="126"/>
      <c r="J76" s="119"/>
      <c r="K76" s="119"/>
      <c r="L76" s="3"/>
      <c r="M76" s="376"/>
      <c r="N76" s="3"/>
      <c r="O76" s="3"/>
      <c r="P76" s="3"/>
      <c r="Q76" s="384"/>
      <c r="R76" s="3"/>
      <c r="S76" s="3"/>
      <c r="T76" s="3"/>
      <c r="U76" s="126"/>
      <c r="V76" s="126"/>
      <c r="W76" s="126"/>
      <c r="X76" s="119"/>
      <c r="Y76" s="119">
        <f>SUM(Y67:Y71)</f>
        <v>6567.7</v>
      </c>
      <c r="Z76" s="3"/>
      <c r="AA76" s="3"/>
      <c r="AB76" s="3"/>
      <c r="AC76" s="3"/>
      <c r="AD76" s="4"/>
    </row>
    <row r="77" spans="1:30" x14ac:dyDescent="0.25">
      <c r="A77" s="1"/>
      <c r="B77" s="134"/>
      <c r="C77" s="117"/>
      <c r="D77" s="119"/>
      <c r="E77" s="119"/>
      <c r="F77" s="119"/>
      <c r="G77" s="119"/>
      <c r="H77" s="119"/>
      <c r="I77" s="126"/>
      <c r="J77" s="119"/>
      <c r="K77" s="119"/>
      <c r="L77" s="119"/>
      <c r="M77" s="119"/>
      <c r="N77" s="119"/>
      <c r="O77" s="126"/>
      <c r="P77" s="119"/>
      <c r="Q77" s="119"/>
      <c r="R77" s="119"/>
      <c r="S77" s="126"/>
      <c r="T77" s="126"/>
      <c r="U77" s="126"/>
      <c r="V77" s="119"/>
      <c r="W77" s="119"/>
      <c r="X77" s="119"/>
      <c r="Y77" s="3"/>
      <c r="Z77" s="3"/>
      <c r="AA77" s="3"/>
      <c r="AB77" s="3"/>
      <c r="AC77" s="3"/>
      <c r="AD77" s="3"/>
    </row>
    <row r="78" spans="1:30" x14ac:dyDescent="0.25">
      <c r="A78" s="1"/>
      <c r="B78" s="144" t="s">
        <v>103</v>
      </c>
      <c r="C78" s="145"/>
      <c r="D78" s="585"/>
      <c r="E78" s="585"/>
      <c r="F78" s="585"/>
      <c r="G78" s="585"/>
      <c r="H78" s="585"/>
      <c r="I78" s="585"/>
      <c r="J78" s="585"/>
      <c r="K78" s="585"/>
      <c r="L78" s="585"/>
      <c r="M78" s="585"/>
      <c r="N78" s="585"/>
      <c r="O78" s="585"/>
      <c r="P78" s="585"/>
      <c r="Q78" s="585"/>
      <c r="R78" s="585"/>
      <c r="S78" s="585"/>
      <c r="T78" s="585"/>
      <c r="U78" s="585"/>
      <c r="V78" s="146"/>
      <c r="W78" s="146"/>
      <c r="X78" s="146"/>
      <c r="Y78" s="146"/>
      <c r="Z78" s="146"/>
      <c r="AA78" s="146"/>
      <c r="AB78" s="147"/>
      <c r="AC78" s="3"/>
      <c r="AD78" s="3"/>
    </row>
    <row r="79" spans="1:30" x14ac:dyDescent="0.25">
      <c r="A79" s="1"/>
      <c r="B79" s="148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49"/>
      <c r="AC79" s="3"/>
      <c r="AD79" s="3"/>
    </row>
    <row r="80" spans="1:30" x14ac:dyDescent="0.25">
      <c r="A80" s="1"/>
      <c r="B80" s="575"/>
      <c r="C80" s="576"/>
      <c r="D80" s="576"/>
      <c r="E80" s="576"/>
      <c r="F80" s="576"/>
      <c r="G80" s="576"/>
      <c r="H80" s="576"/>
      <c r="I80" s="576"/>
      <c r="J80" s="576"/>
      <c r="K80" s="576"/>
      <c r="L80" s="576"/>
      <c r="M80" s="576"/>
      <c r="N80" s="576"/>
      <c r="O80" s="576"/>
      <c r="P80" s="576"/>
      <c r="Q80" s="576"/>
      <c r="R80" s="576"/>
      <c r="S80" s="576"/>
      <c r="T80" s="576"/>
      <c r="U80" s="576"/>
      <c r="V80" s="121"/>
      <c r="W80" s="121"/>
      <c r="X80" s="121"/>
      <c r="Y80" s="121"/>
      <c r="Z80" s="121"/>
      <c r="AA80" s="121"/>
      <c r="AB80" s="149"/>
      <c r="AC80" s="3"/>
      <c r="AD80" s="3"/>
    </row>
    <row r="81" spans="1:30" x14ac:dyDescent="0.25">
      <c r="A81" s="1"/>
      <c r="B81" s="575"/>
      <c r="C81" s="576"/>
      <c r="D81" s="576"/>
      <c r="E81" s="576"/>
      <c r="F81" s="576"/>
      <c r="G81" s="576"/>
      <c r="H81" s="576"/>
      <c r="I81" s="576"/>
      <c r="J81" s="576"/>
      <c r="K81" s="576"/>
      <c r="L81" s="576"/>
      <c r="M81" s="576"/>
      <c r="N81" s="576"/>
      <c r="O81" s="576"/>
      <c r="P81" s="576"/>
      <c r="Q81" s="576"/>
      <c r="R81" s="576"/>
      <c r="S81" s="576"/>
      <c r="T81" s="576"/>
      <c r="U81" s="576"/>
      <c r="V81" s="121"/>
      <c r="W81" s="121"/>
      <c r="X81" s="121"/>
      <c r="Y81" s="121"/>
      <c r="Z81" s="121"/>
      <c r="AA81" s="121"/>
      <c r="AB81" s="149"/>
      <c r="AC81" s="3"/>
      <c r="AD81" s="3"/>
    </row>
    <row r="82" spans="1:30" x14ac:dyDescent="0.25">
      <c r="A82" s="1"/>
      <c r="B82" s="575"/>
      <c r="C82" s="576"/>
      <c r="D82" s="576"/>
      <c r="E82" s="576"/>
      <c r="F82" s="576"/>
      <c r="G82" s="576"/>
      <c r="H82" s="576"/>
      <c r="I82" s="576"/>
      <c r="J82" s="576"/>
      <c r="K82" s="576"/>
      <c r="L82" s="576"/>
      <c r="M82" s="576"/>
      <c r="N82" s="576"/>
      <c r="O82" s="576"/>
      <c r="P82" s="576"/>
      <c r="Q82" s="576"/>
      <c r="R82" s="576"/>
      <c r="S82" s="576"/>
      <c r="T82" s="576"/>
      <c r="U82" s="576"/>
      <c r="V82" s="121"/>
      <c r="W82" s="121"/>
      <c r="X82" s="121"/>
      <c r="Y82" s="121"/>
      <c r="Z82" s="121"/>
      <c r="AA82" s="121"/>
      <c r="AB82" s="149"/>
      <c r="AC82" s="3"/>
      <c r="AD82" s="3"/>
    </row>
    <row r="83" spans="1:30" x14ac:dyDescent="0.25">
      <c r="A83" s="1"/>
      <c r="B83" s="150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21"/>
      <c r="W83" s="121"/>
      <c r="X83" s="121"/>
      <c r="Y83" s="121"/>
      <c r="Z83" s="121"/>
      <c r="AA83" s="121"/>
      <c r="AB83" s="149"/>
      <c r="AC83" s="3"/>
      <c r="AD83" s="3"/>
    </row>
    <row r="84" spans="1:30" x14ac:dyDescent="0.25">
      <c r="A84" s="1"/>
      <c r="B84" s="150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21"/>
      <c r="W84" s="121"/>
      <c r="X84" s="121"/>
      <c r="Y84" s="121"/>
      <c r="Z84" s="121"/>
      <c r="AA84" s="121"/>
      <c r="AB84" s="149"/>
      <c r="AC84" s="3"/>
      <c r="AD84" s="3"/>
    </row>
    <row r="85" spans="1:30" x14ac:dyDescent="0.25">
      <c r="A85" s="1"/>
      <c r="B85" s="150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21"/>
      <c r="W85" s="121"/>
      <c r="X85" s="121"/>
      <c r="Y85" s="121"/>
      <c r="Z85" s="121"/>
      <c r="AA85" s="121"/>
      <c r="AB85" s="149"/>
      <c r="AC85" s="3"/>
      <c r="AD85" s="3"/>
    </row>
    <row r="86" spans="1:30" x14ac:dyDescent="0.25">
      <c r="A86" s="1"/>
      <c r="B86" s="150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21"/>
      <c r="W86" s="121"/>
      <c r="X86" s="121"/>
      <c r="Y86" s="121"/>
      <c r="Z86" s="121"/>
      <c r="AA86" s="121"/>
      <c r="AB86" s="149"/>
      <c r="AC86" s="3"/>
      <c r="AD86" s="3"/>
    </row>
    <row r="87" spans="1:30" x14ac:dyDescent="0.25">
      <c r="A87" s="1"/>
      <c r="B87" s="150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21"/>
      <c r="W87" s="121"/>
      <c r="X87" s="121"/>
      <c r="Y87" s="121"/>
      <c r="Z87" s="121"/>
      <c r="AA87" s="121"/>
      <c r="AB87" s="149"/>
      <c r="AC87" s="3"/>
      <c r="AD87" s="3"/>
    </row>
    <row r="88" spans="1:30" x14ac:dyDescent="0.25">
      <c r="A88" s="1"/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21"/>
      <c r="W88" s="121"/>
      <c r="X88" s="121"/>
      <c r="Y88" s="121"/>
      <c r="Z88" s="121"/>
      <c r="AA88" s="121"/>
      <c r="AB88" s="149"/>
      <c r="AC88" s="3"/>
      <c r="AD88" s="3"/>
    </row>
    <row r="89" spans="1:30" x14ac:dyDescent="0.25">
      <c r="A89" s="1"/>
      <c r="B89" s="150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21"/>
      <c r="W89" s="121"/>
      <c r="X89" s="121"/>
      <c r="Y89" s="121"/>
      <c r="Z89" s="121"/>
      <c r="AA89" s="121"/>
      <c r="AB89" s="149"/>
      <c r="AC89" s="3"/>
      <c r="AD89" s="3"/>
    </row>
    <row r="90" spans="1:30" x14ac:dyDescent="0.25">
      <c r="A90" s="1"/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21"/>
      <c r="W90" s="121"/>
      <c r="X90" s="121"/>
      <c r="Y90" s="121"/>
      <c r="Z90" s="121"/>
      <c r="AA90" s="121"/>
      <c r="AB90" s="149"/>
      <c r="AC90" s="3"/>
      <c r="AD90" s="3"/>
    </row>
    <row r="91" spans="1:30" x14ac:dyDescent="0.25">
      <c r="A91" s="1"/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21"/>
      <c r="W91" s="121"/>
      <c r="X91" s="121"/>
      <c r="Y91" s="121"/>
      <c r="Z91" s="121"/>
      <c r="AA91" s="121"/>
      <c r="AB91" s="149"/>
      <c r="AC91" s="3"/>
      <c r="AD91" s="3"/>
    </row>
    <row r="92" spans="1:30" x14ac:dyDescent="0.25">
      <c r="A92" s="1"/>
      <c r="B92" s="150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21"/>
      <c r="W92" s="121"/>
      <c r="X92" s="121"/>
      <c r="Y92" s="121"/>
      <c r="Z92" s="121"/>
      <c r="AA92" s="121"/>
      <c r="AB92" s="149"/>
      <c r="AC92" s="3"/>
      <c r="AD92" s="3"/>
    </row>
    <row r="93" spans="1:30" x14ac:dyDescent="0.25">
      <c r="A93" s="1"/>
      <c r="B93" s="150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21"/>
      <c r="W93" s="121"/>
      <c r="X93" s="121"/>
      <c r="Y93" s="121"/>
      <c r="Z93" s="121"/>
      <c r="AA93" s="121"/>
      <c r="AB93" s="149"/>
      <c r="AC93" s="3"/>
      <c r="AD93" s="3"/>
    </row>
    <row r="94" spans="1:30" x14ac:dyDescent="0.25">
      <c r="A94" s="1"/>
      <c r="B94" s="150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21"/>
      <c r="W94" s="121"/>
      <c r="X94" s="121"/>
      <c r="Y94" s="121"/>
      <c r="Z94" s="121"/>
      <c r="AA94" s="121"/>
      <c r="AB94" s="149"/>
      <c r="AC94" s="3"/>
      <c r="AD94" s="3"/>
    </row>
    <row r="95" spans="1:30" x14ac:dyDescent="0.25">
      <c r="A95" s="1"/>
      <c r="B95" s="158"/>
      <c r="C95" s="159"/>
      <c r="D95" s="160"/>
      <c r="E95" s="160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2"/>
      <c r="W95" s="162"/>
      <c r="X95" s="162"/>
      <c r="Y95" s="162"/>
      <c r="Z95" s="162"/>
      <c r="AA95" s="162"/>
      <c r="AB95" s="163"/>
      <c r="AC95" s="3"/>
      <c r="AD95" s="3"/>
    </row>
    <row r="96" spans="1:30" x14ac:dyDescent="0.25">
      <c r="A96" s="115"/>
      <c r="B96" s="164"/>
      <c r="C96" s="165"/>
      <c r="D96" s="164"/>
      <c r="E96" s="164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3"/>
      <c r="W96" s="3"/>
      <c r="X96" s="3"/>
      <c r="Y96" s="3"/>
      <c r="Z96" s="3"/>
      <c r="AA96" s="3"/>
      <c r="AB96" s="3"/>
      <c r="AC96" s="3"/>
      <c r="AD96" s="3"/>
    </row>
    <row r="97" spans="1:30" x14ac:dyDescent="0.25">
      <c r="A97" s="115"/>
      <c r="B97" s="164"/>
      <c r="C97" s="165"/>
      <c r="D97" s="164"/>
      <c r="E97" s="164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1"/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1"/>
      <c r="B99" s="167" t="s">
        <v>104</v>
      </c>
      <c r="C99" s="168">
        <v>45918</v>
      </c>
      <c r="D99" s="167" t="s">
        <v>105</v>
      </c>
      <c r="E99" s="576" t="s">
        <v>252</v>
      </c>
      <c r="F99" s="576"/>
      <c r="G99" s="576"/>
      <c r="H99" s="167"/>
      <c r="I99" s="167" t="s">
        <v>107</v>
      </c>
      <c r="J99" s="577" t="s">
        <v>253</v>
      </c>
      <c r="K99" s="577"/>
      <c r="L99" s="577"/>
      <c r="M99" s="577"/>
      <c r="N99" s="167"/>
      <c r="O99" s="167"/>
      <c r="P99" s="167"/>
      <c r="Q99" s="167"/>
      <c r="R99" s="167"/>
      <c r="S99" s="167"/>
      <c r="T99" s="167"/>
      <c r="U99" s="167"/>
      <c r="V99" s="3"/>
      <c r="W99" s="3"/>
      <c r="X99" s="3"/>
      <c r="Y99" s="3"/>
      <c r="Z99" s="3"/>
      <c r="AA99" s="3"/>
      <c r="AB99" s="3"/>
      <c r="AC99" s="3"/>
      <c r="AD99" s="3"/>
    </row>
    <row r="100" spans="1:30" ht="7.5" customHeight="1" x14ac:dyDescent="0.25">
      <c r="A100" s="1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1"/>
      <c r="B101" s="167"/>
      <c r="C101" s="167"/>
      <c r="D101" s="167" t="s">
        <v>109</v>
      </c>
      <c r="E101" s="169"/>
      <c r="F101" s="169"/>
      <c r="G101" s="169"/>
      <c r="H101" s="167"/>
      <c r="I101" s="167" t="s">
        <v>109</v>
      </c>
      <c r="J101" s="170"/>
      <c r="K101" s="170"/>
      <c r="L101" s="170"/>
      <c r="M101" s="170"/>
      <c r="N101" s="167"/>
      <c r="O101" s="167"/>
      <c r="P101" s="167"/>
      <c r="Q101" s="167"/>
      <c r="R101" s="167"/>
      <c r="S101" s="167"/>
      <c r="T101" s="167"/>
      <c r="U101" s="167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x14ac:dyDescent="0.25">
      <c r="A102" s="1"/>
      <c r="B102" s="167"/>
      <c r="C102" s="167"/>
      <c r="D102" s="167"/>
      <c r="E102" s="169"/>
      <c r="F102" s="169"/>
      <c r="G102" s="169"/>
      <c r="H102" s="167"/>
      <c r="I102" s="167"/>
      <c r="J102" s="170"/>
      <c r="K102" s="170"/>
      <c r="L102" s="170"/>
      <c r="M102" s="170"/>
      <c r="N102" s="167"/>
      <c r="O102" s="167"/>
      <c r="P102" s="167"/>
      <c r="Q102" s="167"/>
      <c r="R102" s="167"/>
      <c r="S102" s="167"/>
      <c r="T102" s="167"/>
      <c r="U102" s="167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x14ac:dyDescent="0.25">
      <c r="A103" s="1"/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x14ac:dyDescent="0.25">
      <c r="A104" s="1"/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idden="1" x14ac:dyDescent="0.25">
      <c r="AC105" s="4"/>
      <c r="AD105" s="4"/>
    </row>
    <row r="106" spans="1:30" hidden="1" x14ac:dyDescent="0.25"/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t="15" hidden="1" customHeight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t="15" hidden="1" customHeight="1" x14ac:dyDescent="0.25"/>
    <row r="136" ht="15" hidden="1" customHeight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</sheetData>
  <mergeCells count="82"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AB26:AB28"/>
    <mergeCell ref="J27:L27"/>
    <mergeCell ref="M27:M28"/>
    <mergeCell ref="N27:N28"/>
    <mergeCell ref="O27:O28"/>
    <mergeCell ref="AA13:AA14"/>
    <mergeCell ref="D26:I26"/>
    <mergeCell ref="J26:O26"/>
    <mergeCell ref="P26:U26"/>
    <mergeCell ref="V26:AA26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B27:B28"/>
    <mergeCell ref="C27:C28"/>
    <mergeCell ref="D27:F27"/>
    <mergeCell ref="G27:G28"/>
    <mergeCell ref="H27:H28"/>
    <mergeCell ref="V58:X58"/>
    <mergeCell ref="P27:R27"/>
    <mergeCell ref="S27:S28"/>
    <mergeCell ref="T27:T28"/>
    <mergeCell ref="U27:U28"/>
    <mergeCell ref="V27:X27"/>
    <mergeCell ref="Z27:Z28"/>
    <mergeCell ref="AA27:AA28"/>
    <mergeCell ref="C44:C45"/>
    <mergeCell ref="C47:C48"/>
    <mergeCell ref="V57:X57"/>
    <mergeCell ref="Y27:Y28"/>
    <mergeCell ref="I27:I28"/>
    <mergeCell ref="U71:X71"/>
    <mergeCell ref="V59:X59"/>
    <mergeCell ref="D61:E61"/>
    <mergeCell ref="V61:X61"/>
    <mergeCell ref="V62:X62"/>
    <mergeCell ref="V63:X63"/>
    <mergeCell ref="V64:X64"/>
    <mergeCell ref="U66:X66"/>
    <mergeCell ref="U67:X67"/>
    <mergeCell ref="U68:X68"/>
    <mergeCell ref="U69:X69"/>
    <mergeCell ref="U70:X70"/>
    <mergeCell ref="B81:U81"/>
    <mergeCell ref="B82:U82"/>
    <mergeCell ref="E99:G99"/>
    <mergeCell ref="J99:M99"/>
    <mergeCell ref="U72:X72"/>
    <mergeCell ref="U73:X73"/>
    <mergeCell ref="U74:X74"/>
    <mergeCell ref="U75:X75"/>
    <mergeCell ref="D78:U78"/>
    <mergeCell ref="B80:U80"/>
  </mergeCells>
  <conditionalFormatting sqref="AB15:AB26 AB29:AB42">
    <cfRule type="cellIs" dxfId="19" priority="1" operator="equal">
      <formula>0</formula>
    </cfRule>
    <cfRule type="containsErrors" dxfId="18" priority="2">
      <formula>ISERROR(AB15)</formula>
    </cfRule>
  </conditionalFormatting>
  <pageMargins left="0" right="0" top="0.78740157480314965" bottom="0.78740157480314965" header="0.31496062992125984" footer="0.31496062992125984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17</vt:i4>
      </vt:variant>
    </vt:vector>
  </HeadingPairs>
  <TitlesOfParts>
    <vt:vector size="35" baseType="lpstr">
      <vt:lpstr>CHK NR 2026</vt:lpstr>
      <vt:lpstr>MěLesy NR 2026</vt:lpstr>
      <vt:lpstr>MŠ Chomutov-NR 2026</vt:lpstr>
      <vt:lpstr>SoS Chomutov - NR 2026</vt:lpstr>
      <vt:lpstr>SVČ Domeček-NR 2026</vt:lpstr>
      <vt:lpstr>TSMCH  NR 2026</vt:lpstr>
      <vt:lpstr>Zoopark Chomutov NR 2026</vt:lpstr>
      <vt:lpstr>ZUŠ-NR 2026</vt:lpstr>
      <vt:lpstr>ZŠ a MŠ 17. listopadu NR-2026</vt:lpstr>
      <vt:lpstr>ZŠ a MŠ Palachova-NR 2026</vt:lpstr>
      <vt:lpstr>ZŠ A. Heyrovského-NR 2026</vt:lpstr>
      <vt:lpstr>ZŠ Březenecká-NR 2026</vt:lpstr>
      <vt:lpstr>ZŠ Hornická-NR 2026</vt:lpstr>
      <vt:lpstr>ZŠ Kadaňská-NR 2026</vt:lpstr>
      <vt:lpstr>ZŠ Na Příkopech-NR 2026</vt:lpstr>
      <vt:lpstr>ZŠ Písečná-NR 2026</vt:lpstr>
      <vt:lpstr>ZŠ Zahradní-NR 2026</vt:lpstr>
      <vt:lpstr>ZŠ Školní-NR 2026</vt:lpstr>
      <vt:lpstr>'CHK NR 2026'!Oblast_tisku</vt:lpstr>
      <vt:lpstr>'MěLesy NR 2026'!Oblast_tisku</vt:lpstr>
      <vt:lpstr>'MŠ Chomutov-NR 2026'!Oblast_tisku</vt:lpstr>
      <vt:lpstr>'SoS Chomutov - NR 2026'!Oblast_tisku</vt:lpstr>
      <vt:lpstr>'SVČ Domeček-NR 2026'!Oblast_tisku</vt:lpstr>
      <vt:lpstr>'TSMCH  NR 2026'!Oblast_tisku</vt:lpstr>
      <vt:lpstr>'ZŠ a MŠ 17. listopadu NR-2026'!Oblast_tisku</vt:lpstr>
      <vt:lpstr>'ZŠ a MŠ Palachova-NR 2026'!Oblast_tisku</vt:lpstr>
      <vt:lpstr>'ZŠ A. Heyrovského-NR 2026'!Oblast_tisku</vt:lpstr>
      <vt:lpstr>'ZŠ Březenecká-NR 2026'!Oblast_tisku</vt:lpstr>
      <vt:lpstr>'ZŠ Hornická-NR 2026'!Oblast_tisku</vt:lpstr>
      <vt:lpstr>'ZŠ Kadaňská-NR 2026'!Oblast_tisku</vt:lpstr>
      <vt:lpstr>'ZŠ Na Příkopech-NR 2026'!Oblast_tisku</vt:lpstr>
      <vt:lpstr>'ZŠ Písečná-NR 2026'!Oblast_tisku</vt:lpstr>
      <vt:lpstr>'ZŠ Školní-NR 2026'!Oblast_tisku</vt:lpstr>
      <vt:lpstr>'ZŠ Zahradní-NR 2026'!Oblast_tisku</vt:lpstr>
      <vt:lpstr>'ZUŠ-NR 2026'!Oblast_tisku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2025-11-06T08:05:00Z</dcterms:created>
  <dcterms:modified xsi:type="dcterms:W3CDTF">2025-11-06T08:42:12Z</dcterms:modified>
</cp:coreProperties>
</file>