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Rozpočet\Návrh rozpočtu r. 2025\Zoopark Chomutov\"/>
    </mc:Choice>
  </mc:AlternateContent>
  <xr:revisionPtr revIDLastSave="0" documentId="13_ncr:1_{B15B39F1-2762-4942-BEBB-485A8D233E18}" xr6:coauthVersionLast="36" xr6:coauthVersionMax="36" xr10:uidLastSave="{00000000-0000-0000-0000-000000000000}"/>
  <bookViews>
    <workbookView xWindow="0" yWindow="0" windowWidth="23040" windowHeight="8490" xr2:uid="{B1D36A33-027F-4A8C-8FD5-F818552D4886}"/>
  </bookViews>
  <sheets>
    <sheet name="NR 2025" sheetId="3" r:id="rId1"/>
  </sheets>
  <externalReferences>
    <externalReference r:id="rId2"/>
  </externalReferences>
  <definedNames>
    <definedName name="_xlnm.Print_Area" localSheetId="0">'NR 2025'!$A:$AB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5" i="3" l="1"/>
  <c r="Z33" i="3"/>
  <c r="Z35" i="3"/>
  <c r="V33" i="3"/>
  <c r="V35" i="3"/>
  <c r="X29" i="3"/>
  <c r="V29" i="3"/>
  <c r="X33" i="3"/>
  <c r="V16" i="3"/>
  <c r="W32" i="3" l="1"/>
  <c r="X32" i="3"/>
  <c r="Z32" i="3"/>
  <c r="X28" i="3"/>
  <c r="X31" i="3"/>
  <c r="X38" i="3"/>
  <c r="W28" i="3"/>
  <c r="W34" i="3"/>
  <c r="W35" i="3"/>
  <c r="W36" i="3"/>
  <c r="W37" i="3"/>
  <c r="V28" i="3"/>
  <c r="X51" i="3"/>
  <c r="V32" i="3" l="1"/>
  <c r="X50" i="3" l="1"/>
  <c r="V50" i="3"/>
  <c r="Q50" i="3"/>
  <c r="R50" i="3"/>
  <c r="S50" i="3"/>
  <c r="P50" i="3"/>
  <c r="E50" i="3" l="1"/>
  <c r="F50" i="3"/>
  <c r="D50" i="3"/>
  <c r="E51" i="3"/>
  <c r="D51" i="3"/>
  <c r="J50" i="3"/>
  <c r="K50" i="3"/>
  <c r="L50" i="3"/>
  <c r="M54" i="3"/>
  <c r="M53" i="3"/>
  <c r="M52" i="3"/>
  <c r="M51" i="3"/>
  <c r="M50" i="3" l="1"/>
  <c r="F33" i="3" l="1"/>
  <c r="D33" i="3"/>
  <c r="D32" i="3"/>
  <c r="F31" i="3"/>
  <c r="F30" i="3"/>
  <c r="F29" i="3"/>
  <c r="F28" i="3"/>
  <c r="H40" i="3"/>
  <c r="E29" i="3"/>
  <c r="E32" i="3"/>
  <c r="E30" i="3"/>
  <c r="E31" i="3"/>
  <c r="E33" i="3"/>
  <c r="H32" i="3"/>
  <c r="G35" i="3" l="1"/>
  <c r="F32" i="3"/>
  <c r="Z37" i="3" l="1"/>
  <c r="Z36" i="3"/>
  <c r="Z30" i="3"/>
  <c r="Z28" i="3"/>
  <c r="Z23" i="3"/>
  <c r="Z22" i="3"/>
  <c r="Z20" i="3"/>
  <c r="Z19" i="3"/>
  <c r="Z18" i="3"/>
  <c r="Z17" i="3"/>
  <c r="Z16" i="3"/>
  <c r="X23" i="3"/>
  <c r="W23" i="3"/>
  <c r="V23" i="3"/>
  <c r="X22" i="3"/>
  <c r="W22" i="3"/>
  <c r="V22" i="3"/>
  <c r="W21" i="3"/>
  <c r="V21" i="3"/>
  <c r="W20" i="3"/>
  <c r="V20" i="3"/>
  <c r="W19" i="3"/>
  <c r="V19" i="3"/>
  <c r="X18" i="3"/>
  <c r="V18" i="3"/>
  <c r="X17" i="3"/>
  <c r="W17" i="3"/>
  <c r="V17" i="3"/>
  <c r="X16" i="3"/>
  <c r="W16" i="3"/>
  <c r="W15" i="3"/>
  <c r="V15" i="3"/>
  <c r="T39" i="3"/>
  <c r="S38" i="3"/>
  <c r="U38" i="3" s="1"/>
  <c r="S37" i="3"/>
  <c r="U37" i="3" s="1"/>
  <c r="S36" i="3"/>
  <c r="U36" i="3" s="1"/>
  <c r="S35" i="3"/>
  <c r="U35" i="3" s="1"/>
  <c r="S34" i="3"/>
  <c r="U34" i="3" s="1"/>
  <c r="Q33" i="3"/>
  <c r="P33" i="3"/>
  <c r="P32" i="3" s="1"/>
  <c r="S32" i="3" s="1"/>
  <c r="R32" i="3"/>
  <c r="R39" i="3" s="1"/>
  <c r="Q32" i="3"/>
  <c r="S31" i="3"/>
  <c r="U31" i="3" s="1"/>
  <c r="S30" i="3"/>
  <c r="U30" i="3" s="1"/>
  <c r="Q29" i="3"/>
  <c r="P29" i="3" s="1"/>
  <c r="S28" i="3"/>
  <c r="U28" i="3" s="1"/>
  <c r="S23" i="3"/>
  <c r="U23" i="3" s="1"/>
  <c r="S22" i="3"/>
  <c r="U22" i="3" s="1"/>
  <c r="S21" i="3"/>
  <c r="U21" i="3" s="1"/>
  <c r="S20" i="3"/>
  <c r="U20" i="3" s="1"/>
  <c r="S19" i="3"/>
  <c r="U19" i="3" s="1"/>
  <c r="S18" i="3"/>
  <c r="U18" i="3" s="1"/>
  <c r="S17" i="3"/>
  <c r="U17" i="3" s="1"/>
  <c r="S16" i="3"/>
  <c r="U16" i="3" s="1"/>
  <c r="S15" i="3"/>
  <c r="U15" i="3" s="1"/>
  <c r="M38" i="3"/>
  <c r="O38" i="3" s="1"/>
  <c r="M37" i="3"/>
  <c r="O37" i="3" s="1"/>
  <c r="M36" i="3"/>
  <c r="O36" i="3" s="1"/>
  <c r="M35" i="3"/>
  <c r="O35" i="3" s="1"/>
  <c r="M34" i="3"/>
  <c r="O34" i="3" s="1"/>
  <c r="M33" i="3"/>
  <c r="O33" i="3" s="1"/>
  <c r="M32" i="3"/>
  <c r="O32" i="3" s="1"/>
  <c r="M31" i="3"/>
  <c r="O31" i="3" s="1"/>
  <c r="M30" i="3"/>
  <c r="O30" i="3" s="1"/>
  <c r="M29" i="3"/>
  <c r="O29" i="3" s="1"/>
  <c r="M28" i="3"/>
  <c r="O28" i="3" s="1"/>
  <c r="M23" i="3"/>
  <c r="O23" i="3" s="1"/>
  <c r="M22" i="3"/>
  <c r="O22" i="3" s="1"/>
  <c r="M21" i="3"/>
  <c r="O21" i="3" s="1"/>
  <c r="M20" i="3"/>
  <c r="O20" i="3" s="1"/>
  <c r="M19" i="3"/>
  <c r="O19" i="3" s="1"/>
  <c r="M18" i="3"/>
  <c r="O18" i="3" s="1"/>
  <c r="M17" i="3"/>
  <c r="O17" i="3" s="1"/>
  <c r="M16" i="3"/>
  <c r="O16" i="3" s="1"/>
  <c r="M15" i="3"/>
  <c r="O15" i="3" s="1"/>
  <c r="P39" i="3" l="1"/>
  <c r="S29" i="3"/>
  <c r="U29" i="3" s="1"/>
  <c r="Q39" i="3"/>
  <c r="S33" i="3"/>
  <c r="U33" i="3" s="1"/>
  <c r="U32" i="3" s="1"/>
  <c r="U39" i="3" s="1"/>
  <c r="S39" i="3" l="1"/>
  <c r="Z24" i="3"/>
  <c r="X24" i="3"/>
  <c r="W24" i="3"/>
  <c r="V24" i="3"/>
  <c r="T24" i="3"/>
  <c r="R24" i="3"/>
  <c r="Q24" i="3"/>
  <c r="P24" i="3"/>
  <c r="N24" i="3"/>
  <c r="L24" i="3"/>
  <c r="K24" i="3"/>
  <c r="J24" i="3"/>
  <c r="H24" i="3"/>
  <c r="F24" i="3"/>
  <c r="E24" i="3"/>
  <c r="D24" i="3"/>
  <c r="G24" i="3" l="1"/>
  <c r="S24" i="3"/>
  <c r="Y24" i="3"/>
  <c r="M24" i="3"/>
  <c r="Y53" i="3"/>
  <c r="Y51" i="3"/>
  <c r="G53" i="3"/>
  <c r="G54" i="3"/>
  <c r="Z39" i="3"/>
  <c r="X39" i="3"/>
  <c r="W39" i="3"/>
  <c r="W40" i="3" s="1"/>
  <c r="V39" i="3"/>
  <c r="Y38" i="3"/>
  <c r="Y37" i="3"/>
  <c r="Y36" i="3"/>
  <c r="Y35" i="3"/>
  <c r="Y34" i="3"/>
  <c r="Y33" i="3"/>
  <c r="Y32" i="3" s="1"/>
  <c r="Y31" i="3"/>
  <c r="Y30" i="3"/>
  <c r="Y29" i="3"/>
  <c r="Y28" i="3"/>
  <c r="Y23" i="3"/>
  <c r="Y22" i="3"/>
  <c r="Y21" i="3"/>
  <c r="Y20" i="3"/>
  <c r="Y19" i="3"/>
  <c r="Y18" i="3"/>
  <c r="Y17" i="3"/>
  <c r="Y16" i="3"/>
  <c r="Y15" i="3"/>
  <c r="U24" i="3" l="1"/>
  <c r="AA18" i="3"/>
  <c r="AA22" i="3"/>
  <c r="AA29" i="3"/>
  <c r="AA33" i="3"/>
  <c r="AA32" i="3" s="1"/>
  <c r="AA37" i="3"/>
  <c r="W52" i="3" s="1"/>
  <c r="Y52" i="3" s="1"/>
  <c r="AA15" i="3"/>
  <c r="AA19" i="3"/>
  <c r="AA23" i="3"/>
  <c r="AA30" i="3"/>
  <c r="AA34" i="3"/>
  <c r="AA38" i="3"/>
  <c r="AA16" i="3"/>
  <c r="AA20" i="3"/>
  <c r="AA31" i="3"/>
  <c r="AA35" i="3"/>
  <c r="AA17" i="3"/>
  <c r="AA21" i="3"/>
  <c r="AA28" i="3"/>
  <c r="AA36" i="3"/>
  <c r="Z40" i="3"/>
  <c r="X40" i="3"/>
  <c r="V40" i="3"/>
  <c r="Y39" i="3"/>
  <c r="R40" i="3"/>
  <c r="T40" i="3"/>
  <c r="Q40" i="3"/>
  <c r="P40" i="3"/>
  <c r="G28" i="3"/>
  <c r="G15" i="3"/>
  <c r="W54" i="3" l="1"/>
  <c r="Y54" i="3" s="1"/>
  <c r="W50" i="3"/>
  <c r="AA24" i="3"/>
  <c r="AA39" i="3"/>
  <c r="Y40" i="3"/>
  <c r="S40" i="3"/>
  <c r="U40" i="3"/>
  <c r="G38" i="3"/>
  <c r="Y50" i="3" l="1"/>
  <c r="AA40" i="3"/>
  <c r="AA41" i="3" s="1"/>
  <c r="U41" i="3"/>
  <c r="G18" i="3"/>
  <c r="G51" i="3" l="1"/>
  <c r="G52" i="3"/>
  <c r="G50" i="3"/>
  <c r="N39" i="3" l="1"/>
  <c r="L39" i="3"/>
  <c r="K39" i="3"/>
  <c r="AB34" i="3"/>
  <c r="J39" i="3"/>
  <c r="F39" i="3"/>
  <c r="E39" i="3"/>
  <c r="H39" i="3"/>
  <c r="I38" i="3"/>
  <c r="G29" i="3"/>
  <c r="G31" i="3"/>
  <c r="G32" i="3"/>
  <c r="G33" i="3"/>
  <c r="G34" i="3"/>
  <c r="G36" i="3"/>
  <c r="G37" i="3"/>
  <c r="I28" i="3"/>
  <c r="G30" i="3"/>
  <c r="I15" i="3"/>
  <c r="G16" i="3"/>
  <c r="G17" i="3"/>
  <c r="I18" i="3"/>
  <c r="G19" i="3"/>
  <c r="I20" i="3"/>
  <c r="G21" i="3"/>
  <c r="G22" i="3"/>
  <c r="G23" i="3"/>
  <c r="AB20" i="3" l="1"/>
  <c r="AB15" i="3"/>
  <c r="AB21" i="3"/>
  <c r="AB16" i="3"/>
  <c r="AB22" i="3"/>
  <c r="AB17" i="3"/>
  <c r="AB23" i="3"/>
  <c r="AB18" i="3"/>
  <c r="AB19" i="3"/>
  <c r="M39" i="3"/>
  <c r="I21" i="3"/>
  <c r="I17" i="3"/>
  <c r="I34" i="3"/>
  <c r="I29" i="3"/>
  <c r="AB38" i="3"/>
  <c r="I16" i="3"/>
  <c r="I37" i="3"/>
  <c r="I33" i="3"/>
  <c r="AB35" i="3"/>
  <c r="I23" i="3"/>
  <c r="I19" i="3"/>
  <c r="I36" i="3"/>
  <c r="I32" i="3"/>
  <c r="AB28" i="3"/>
  <c r="AB32" i="3"/>
  <c r="I22" i="3"/>
  <c r="I30" i="3"/>
  <c r="I35" i="3"/>
  <c r="I31" i="3"/>
  <c r="AB29" i="3"/>
  <c r="AB33" i="3"/>
  <c r="AB37" i="3"/>
  <c r="AB31" i="3"/>
  <c r="K40" i="3"/>
  <c r="E40" i="3"/>
  <c r="N40" i="3"/>
  <c r="J40" i="3"/>
  <c r="AB36" i="3"/>
  <c r="L40" i="3"/>
  <c r="D39" i="3"/>
  <c r="F40" i="3"/>
  <c r="O24" i="3" l="1"/>
  <c r="AB24" i="3" s="1"/>
  <c r="I39" i="3"/>
  <c r="I24" i="3"/>
  <c r="AB30" i="3"/>
  <c r="D40" i="3"/>
  <c r="G39" i="3"/>
  <c r="G40" i="3" s="1"/>
  <c r="M40" i="3"/>
  <c r="O39" i="3" l="1"/>
  <c r="AB39" i="3" s="1"/>
  <c r="I40" i="3"/>
  <c r="I41" i="3" s="1"/>
  <c r="O40" i="3" l="1"/>
  <c r="AB40" i="3" s="1"/>
  <c r="O41" i="3" l="1"/>
  <c r="AB41" i="3" s="1"/>
</calcChain>
</file>

<file path=xl/sharedStrings.xml><?xml version="1.0" encoding="utf-8"?>
<sst xmlns="http://schemas.openxmlformats.org/spreadsheetml/2006/main" count="214" uniqueCount="124">
  <si>
    <t>1.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</si>
  <si>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</si>
  <si>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</si>
  <si>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</si>
  <si>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</si>
  <si>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</si>
  <si>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</si>
  <si>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</si>
  <si>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</si>
  <si>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</si>
  <si>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</si>
  <si>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</si>
  <si>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</si>
  <si>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</si>
  <si>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</si>
  <si>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</si>
  <si>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</si>
  <si>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</si>
  <si>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</si>
  <si>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</si>
  <si>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</si>
  <si>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</si>
  <si>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</si>
  <si>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</si>
  <si>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</si>
  <si>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</si>
  <si>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</si>
  <si>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</si>
  <si>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</si>
  <si>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</si>
  <si>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</si>
  <si>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</si>
  <si>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</si>
  <si>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</si>
  <si>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20.</t>
  </si>
  <si>
    <t>21.</t>
  </si>
  <si>
    <t>ostatní</t>
  </si>
  <si>
    <t xml:space="preserve">Poř.č. řádku </t>
  </si>
  <si>
    <t>Ukazatel</t>
  </si>
  <si>
    <t>Hlavní činnost</t>
  </si>
  <si>
    <t>Doplňková činnost</t>
  </si>
  <si>
    <t>Celkem</t>
  </si>
  <si>
    <t>v tom:  mzdy zaměstnanců</t>
  </si>
  <si>
    <t>Název organizace:</t>
  </si>
  <si>
    <t>IČO:</t>
  </si>
  <si>
    <t>Sídlo:</t>
  </si>
  <si>
    <t>Zúčtování 403 do výnosů</t>
  </si>
  <si>
    <t>Zapojení fondů do výnosů</t>
  </si>
  <si>
    <t>23.</t>
  </si>
  <si>
    <t>25.</t>
  </si>
  <si>
    <t>26.</t>
  </si>
  <si>
    <t>Výsledek hospodaření</t>
  </si>
  <si>
    <t>Tržby  601-609</t>
  </si>
  <si>
    <t>Provozní dotace z jiných zdrojů (mimo SMCH)</t>
  </si>
  <si>
    <t>z příspěvku zřizovatele</t>
  </si>
  <si>
    <t>ostatních transferů</t>
  </si>
  <si>
    <t>z vlastních výnosů</t>
  </si>
  <si>
    <t>Výnosy</t>
  </si>
  <si>
    <t>zřizovatel</t>
  </si>
  <si>
    <t>vlastní činnost</t>
  </si>
  <si>
    <t>Provozní příspěvek zřizovatele</t>
  </si>
  <si>
    <t>Organizace celkem</t>
  </si>
  <si>
    <t>VÝNOSY</t>
  </si>
  <si>
    <t>Výnosy Hl.Č. celkem</t>
  </si>
  <si>
    <t>Náklady Hl.Č celkem</t>
  </si>
  <si>
    <t>Čistý zisk/ztráta (bez provozního příspěvku zřizovatele)</t>
  </si>
  <si>
    <t>Výnosy DČ</t>
  </si>
  <si>
    <t>Náklady DČ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</si>
  <si>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</si>
  <si>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</si>
  <si>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Stavy fondů</t>
  </si>
  <si>
    <t>Rezervní fond</t>
  </si>
  <si>
    <t>Fond investic</t>
  </si>
  <si>
    <t>Stav k 1.1.</t>
  </si>
  <si>
    <t>Příděl v roce</t>
  </si>
  <si>
    <t>Průměrný přepočtený stav zaměstnanců k:</t>
  </si>
  <si>
    <t>1.1.</t>
  </si>
  <si>
    <t xml:space="preserve">Sestavil: </t>
  </si>
  <si>
    <t xml:space="preserve">Schválil: </t>
  </si>
  <si>
    <t>Účelový příspěvek zřizovatele (s vyúčtováním) - granty OŠ, OE</t>
  </si>
  <si>
    <t>Podpis:</t>
  </si>
  <si>
    <t>Dne:</t>
  </si>
  <si>
    <t>Stavy peněžitých fondů</t>
  </si>
  <si>
    <t>Odvod do rozpočtu zřizovatele</t>
  </si>
  <si>
    <t>z provozu</t>
  </si>
  <si>
    <t>Ostatní investiční transfery</t>
  </si>
  <si>
    <t>Investiční příspěvek/dotace</t>
  </si>
  <si>
    <t>Investiční příspěvek zřizovatel</t>
  </si>
  <si>
    <t>Fond odměn</t>
  </si>
  <si>
    <t>FKSP</t>
  </si>
  <si>
    <t>ostatní transfery</t>
  </si>
  <si>
    <t>Čerpání v roce</t>
  </si>
  <si>
    <t>Komentář k návrhu rozpočtu:</t>
  </si>
  <si>
    <t>Zůstatek k 31.12.</t>
  </si>
  <si>
    <t>Plán k 31.12.</t>
  </si>
  <si>
    <t>Plán k 1.1.</t>
  </si>
  <si>
    <t>31.12.</t>
  </si>
  <si>
    <t>Plán 31.12.</t>
  </si>
  <si>
    <t>Skutečnost k 30.6.</t>
  </si>
  <si>
    <t>Návrh rozpočtu 2025</t>
  </si>
  <si>
    <t>Skutečnost k 31.12.2023</t>
  </si>
  <si>
    <t>Schválený rozpočet (plán NaV 2024)</t>
  </si>
  <si>
    <t>Skutečnost k 30.6.2024</t>
  </si>
  <si>
    <t>Plán 2025 (návrh rozpočtu organizace)</t>
  </si>
  <si>
    <t>Náklady</t>
  </si>
  <si>
    <t xml:space="preserve">V souvislosti se zvýšením nákladů na mzdy se zvyšuje i náklad na pojistné zaměstnanců. </t>
  </si>
  <si>
    <t xml:space="preserve"> </t>
  </si>
  <si>
    <t>ZÁVĚR</t>
  </si>
  <si>
    <t>Transferový podíl je stanoven na úrovni roku 2024.</t>
  </si>
  <si>
    <t>V položce ostatních výnosů jsou obsaženy tržby za prodej krmiva, zprostředkování reklamy, bankovní úroky a přefakturace energií nájemmcům</t>
  </si>
  <si>
    <t>Provozní dotace z jiných zdrojů (mimo SMCH) - jedná se o předpokládané dotace z Úřadu práce na zaměstnance, dotace z MŽP na krmivo, z Ústeckého kraje na Záchrannou stanici, ČSOP a Avatar</t>
  </si>
  <si>
    <t>Mzdové náklady jsou navýšení o 14,51%. Organizace plánuje zprovoznit recepci pro ubytování na Skanzenu a vytvořit nová pracovní místa na Kamencovém jezeře na HPP místo DPP, DPČ. Celkem bude nárůst o 6 lidí proti rozpočtu 2024. Návrh je zpracován s navýšením základních mezd vč. povinných příplatků o 10% (bez osobního příplatku a příplatku za vedení)</t>
  </si>
  <si>
    <t>Náklady na odpisy byly stanoveny na základě předpokládaného odpisového plánu.</t>
  </si>
  <si>
    <t>Ostatní náklady mimo jiné obsahují např.položky náklady na pořízení zboží, produkce vlastníck krmiv, zákonné pojištění zaměstnanců, pojištění vozidel a majetku, členské poplatky, příděl do FKSP a stravenkový paušál</t>
  </si>
  <si>
    <t>Organizace předpokládá zapojení rezervních fondů do hospodaření organizace, s tím, že budou pokryty náklady na krmivo nebo opravy expozic zvířat.</t>
  </si>
  <si>
    <t>Bc. Ludmila Landová, Dis, správce rozpočtu</t>
  </si>
  <si>
    <t>Vlastimil Hubert, ředitel organizace</t>
  </si>
  <si>
    <t>Zoopark Chomutov, p.o.</t>
  </si>
  <si>
    <t>Přemyslova 259, 43001 Chomutov</t>
  </si>
  <si>
    <t>Porovnání s rokem 2024</t>
  </si>
  <si>
    <t>Organizace při stanovení plánovaných tržeb 601-609 vycházela ze skutečnosti roku 2023. Proti plánovanému rozpočtu roku 2024 zvýšila organizace tržby 2025 o 27,5%</t>
  </si>
  <si>
    <t>Náklady na materiál, služby, opravy a energie jsou stanoveny dle skutečnosti roku 2023  a dle vývoje do 7/2024.</t>
  </si>
  <si>
    <t>ORAGANIZACE NA ROK 2025 PLÁNUJE POKRYTÍ NÁKLADŮ Z VLASTNÍCH ZDROJŮ VE VÝŠI 48%, POŽADAVEK NA PROVOZNÍ DOTACI JE VE VÝŠI 52.000.000,- Kč. POŽADAVEK NA ROK 2025 JE O 2.300.000,-Kč NIŽŠÍ PROTI ROKU 2024.</t>
  </si>
  <si>
    <t>Vlastní výnosy organizace jsou velmi závislé na počasí a na pořáaných akcích pro zákazníky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</si>
</sst>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_ ;[Red]\-#,##0.0\ "/>
    <numFmt numFmtId="166" formatCode="#,##0.00_ ;[Red]\-#,##0.00\ 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291">
    <xf numFmtId="0" fontId="0" fillId="0" borderId="0" xfId="0"/>
    <xf numFmtId="10" fontId="0" fillId="0" borderId="0" xfId="0" applyNumberFormat="1"/>
    <xf numFmtId="0" fontId="11" fillId="0" borderId="0" xfId="2" applyFont="1"/>
    <xf numFmtId="0" fontId="0" fillId="8" borderId="0" xfId="0" applyFill="1"/>
    <xf numFmtId="10" fontId="0" fillId="8" borderId="0" xfId="0" applyNumberFormat="1" applyFill="1"/>
    <xf numFmtId="0" fontId="3" fillId="8" borderId="0" xfId="0" applyFont="1" applyFill="1"/>
    <xf numFmtId="0" fontId="1" fillId="4" borderId="30" xfId="0" applyFont="1" applyFill="1" applyBorder="1" applyAlignment="1">
      <alignment horizontal="center" vertical="center" wrapText="1"/>
    </xf>
    <xf numFmtId="0" fontId="1" fillId="14" borderId="34" xfId="0" applyFont="1" applyFill="1" applyBorder="1" applyAlignment="1">
      <alignment horizontal="center" vertical="center" wrapText="1"/>
    </xf>
    <xf numFmtId="0" fontId="1" fillId="14" borderId="19" xfId="0" applyFont="1" applyFill="1" applyBorder="1" applyAlignment="1">
      <alignment horizontal="center" vertical="center"/>
    </xf>
    <xf numFmtId="164" fontId="0" fillId="0" borderId="23" xfId="0" applyNumberFormat="1" applyBorder="1" applyAlignment="1">
      <alignment horizontal="right"/>
    </xf>
    <xf numFmtId="0" fontId="0" fillId="0" borderId="49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14" xfId="0" applyNumberForma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3" borderId="59" xfId="0" applyFont="1" applyFill="1" applyBorder="1"/>
    <xf numFmtId="164" fontId="1" fillId="3" borderId="25" xfId="0" applyNumberFormat="1" applyFont="1" applyFill="1" applyBorder="1" applyAlignment="1">
      <alignment horizontal="right"/>
    </xf>
    <xf numFmtId="164" fontId="1" fillId="3" borderId="26" xfId="0" applyNumberFormat="1" applyFont="1" applyFill="1" applyBorder="1" applyAlignment="1">
      <alignment horizontal="right"/>
    </xf>
    <xf numFmtId="164" fontId="1" fillId="3" borderId="29" xfId="0" applyNumberFormat="1" applyFont="1" applyFill="1" applyBorder="1" applyAlignment="1">
      <alignment horizontal="right"/>
    </xf>
    <xf numFmtId="164" fontId="1" fillId="3" borderId="30" xfId="0" applyNumberFormat="1" applyFont="1" applyFill="1" applyBorder="1" applyAlignment="1">
      <alignment horizontal="right"/>
    </xf>
    <xf numFmtId="0" fontId="0" fillId="14" borderId="58" xfId="0" applyFill="1" applyBorder="1" applyAlignment="1">
      <alignment horizontal="center"/>
    </xf>
    <xf numFmtId="0" fontId="1" fillId="14" borderId="59" xfId="0" applyFont="1" applyFill="1" applyBorder="1"/>
    <xf numFmtId="0" fontId="12" fillId="0" borderId="34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164" fontId="0" fillId="0" borderId="13" xfId="0" applyNumberFormat="1" applyBorder="1" applyAlignment="1">
      <alignment horizontal="right"/>
    </xf>
    <xf numFmtId="0" fontId="0" fillId="0" borderId="50" xfId="0" applyBorder="1"/>
    <xf numFmtId="0" fontId="7" fillId="0" borderId="50" xfId="0" applyFont="1" applyBorder="1"/>
    <xf numFmtId="0" fontId="7" fillId="0" borderId="50" xfId="0" applyFont="1" applyBorder="1" applyAlignment="1">
      <alignment horizontal="left" indent="5"/>
    </xf>
    <xf numFmtId="164" fontId="1" fillId="5" borderId="3" xfId="0" applyNumberFormat="1" applyFont="1" applyFill="1" applyBorder="1"/>
    <xf numFmtId="164" fontId="1" fillId="14" borderId="18" xfId="0" applyNumberFormat="1" applyFont="1" applyFill="1" applyBorder="1"/>
    <xf numFmtId="164" fontId="1" fillId="14" borderId="19" xfId="0" applyNumberFormat="1" applyFont="1" applyFill="1" applyBorder="1"/>
    <xf numFmtId="0" fontId="1" fillId="8" borderId="0" xfId="0" applyFont="1" applyFill="1" applyAlignment="1">
      <alignment horizontal="center"/>
    </xf>
    <xf numFmtId="0" fontId="1" fillId="8" borderId="0" xfId="0" applyFont="1" applyFill="1"/>
    <xf numFmtId="164" fontId="1" fillId="8" borderId="0" xfId="0" applyNumberFormat="1" applyFont="1" applyFill="1"/>
    <xf numFmtId="164" fontId="5" fillId="8" borderId="0" xfId="0" applyNumberFormat="1" applyFont="1" applyFill="1" applyAlignment="1">
      <alignment horizontal="right"/>
    </xf>
    <xf numFmtId="0" fontId="1" fillId="0" borderId="1" xfId="0" applyFont="1" applyBorder="1"/>
    <xf numFmtId="0" fontId="1" fillId="8" borderId="0" xfId="0" applyFont="1" applyFill="1" applyAlignment="1">
      <alignment horizontal="left"/>
    </xf>
    <xf numFmtId="0" fontId="1" fillId="13" borderId="0" xfId="0" applyFont="1" applyFill="1" applyAlignment="1">
      <alignment horizontal="left"/>
    </xf>
    <xf numFmtId="164" fontId="0" fillId="0" borderId="54" xfId="0" applyNumberForma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8" borderId="0" xfId="0" applyFill="1" applyAlignment="1">
      <alignment horizontal="center"/>
    </xf>
    <xf numFmtId="164" fontId="1" fillId="8" borderId="0" xfId="0" applyNumberFormat="1" applyFont="1" applyFill="1" applyAlignment="1">
      <alignment horizontal="center"/>
    </xf>
    <xf numFmtId="164" fontId="1" fillId="8" borderId="0" xfId="0" applyNumberFormat="1" applyFont="1" applyFill="1" applyProtection="1">
      <protection locked="0"/>
    </xf>
    <xf numFmtId="164" fontId="1" fillId="0" borderId="31" xfId="0" applyNumberFormat="1" applyFont="1" applyBorder="1" applyProtection="1">
      <protection locked="0"/>
    </xf>
    <xf numFmtId="164" fontId="13" fillId="14" borderId="34" xfId="0" applyNumberFormat="1" applyFont="1" applyFill="1" applyBorder="1" applyAlignment="1" applyProtection="1">
      <alignment horizontal="center" wrapText="1"/>
      <protection locked="0"/>
    </xf>
    <xf numFmtId="164" fontId="13" fillId="14" borderId="19" xfId="0" applyNumberFormat="1" applyFont="1" applyFill="1" applyBorder="1" applyAlignment="1">
      <alignment horizontal="center" wrapText="1"/>
    </xf>
    <xf numFmtId="164" fontId="1" fillId="0" borderId="48" xfId="0" applyNumberFormat="1" applyFont="1" applyBorder="1" applyProtection="1">
      <protection locked="0"/>
    </xf>
    <xf numFmtId="0" fontId="1" fillId="12" borderId="1" xfId="0" applyFont="1" applyFill="1" applyBorder="1"/>
    <xf numFmtId="164" fontId="1" fillId="12" borderId="1" xfId="0" applyNumberFormat="1" applyFont="1" applyFill="1" applyBorder="1" applyAlignment="1">
      <alignment horizontal="center"/>
    </xf>
    <xf numFmtId="0" fontId="1" fillId="12" borderId="39" xfId="0" applyFont="1" applyFill="1" applyBorder="1" applyAlignment="1">
      <alignment horizontal="left"/>
    </xf>
    <xf numFmtId="0" fontId="1" fillId="12" borderId="12" xfId="0" applyFont="1" applyFill="1" applyBorder="1" applyAlignment="1">
      <alignment horizontal="left"/>
    </xf>
    <xf numFmtId="0" fontId="0" fillId="0" borderId="46" xfId="0" applyBorder="1"/>
    <xf numFmtId="0" fontId="1" fillId="5" borderId="41" xfId="0" applyFont="1" applyFill="1" applyBorder="1"/>
    <xf numFmtId="164" fontId="1" fillId="0" borderId="32" xfId="0" applyNumberFormat="1" applyFont="1" applyBorder="1" applyProtection="1">
      <protection locked="0"/>
    </xf>
    <xf numFmtId="164" fontId="1" fillId="0" borderId="20" xfId="0" applyNumberFormat="1" applyFont="1" applyBorder="1" applyProtection="1">
      <protection locked="0"/>
    </xf>
    <xf numFmtId="164" fontId="1" fillId="14" borderId="34" xfId="0" applyNumberFormat="1" applyFont="1" applyFill="1" applyBorder="1" applyProtection="1">
      <protection locked="0"/>
    </xf>
    <xf numFmtId="0" fontId="16" fillId="0" borderId="38" xfId="0" applyFont="1" applyBorder="1" applyAlignment="1">
      <alignment horizontal="center"/>
    </xf>
    <xf numFmtId="0" fontId="16" fillId="6" borderId="38" xfId="0" applyFont="1" applyFill="1" applyBorder="1" applyAlignment="1">
      <alignment horizontal="left"/>
    </xf>
    <xf numFmtId="165" fontId="16" fillId="6" borderId="38" xfId="0" applyNumberFormat="1" applyFont="1" applyFill="1" applyBorder="1"/>
    <xf numFmtId="0" fontId="2" fillId="0" borderId="41" xfId="0" applyFont="1" applyBorder="1" applyAlignment="1">
      <alignment horizontal="center"/>
    </xf>
    <xf numFmtId="0" fontId="2" fillId="0" borderId="41" xfId="0" applyFont="1" applyBorder="1"/>
    <xf numFmtId="164" fontId="5" fillId="14" borderId="34" xfId="0" applyNumberFormat="1" applyFont="1" applyFill="1" applyBorder="1" applyAlignment="1">
      <alignment horizontal="center"/>
    </xf>
    <xf numFmtId="164" fontId="5" fillId="14" borderId="18" xfId="0" applyNumberFormat="1" applyFont="1" applyFill="1" applyBorder="1"/>
    <xf numFmtId="0" fontId="2" fillId="14" borderId="18" xfId="0" applyFont="1" applyFill="1" applyBorder="1"/>
    <xf numFmtId="165" fontId="2" fillId="7" borderId="3" xfId="0" applyNumberFormat="1" applyFont="1" applyFill="1" applyBorder="1"/>
    <xf numFmtId="164" fontId="5" fillId="14" borderId="19" xfId="0" applyNumberFormat="1" applyFont="1" applyFill="1" applyBorder="1"/>
    <xf numFmtId="165" fontId="17" fillId="9" borderId="38" xfId="0" applyNumberFormat="1" applyFont="1" applyFill="1" applyBorder="1"/>
    <xf numFmtId="165" fontId="17" fillId="9" borderId="30" xfId="0" applyNumberFormat="1" applyFont="1" applyFill="1" applyBorder="1"/>
    <xf numFmtId="14" fontId="1" fillId="13" borderId="0" xfId="0" applyNumberFormat="1" applyFont="1" applyFill="1" applyAlignment="1" applyProtection="1">
      <alignment horizontal="left"/>
      <protection locked="0"/>
    </xf>
    <xf numFmtId="0" fontId="0" fillId="0" borderId="36" xfId="0" applyBorder="1"/>
    <xf numFmtId="0" fontId="0" fillId="10" borderId="50" xfId="0" applyFill="1" applyBorder="1"/>
    <xf numFmtId="0" fontId="7" fillId="5" borderId="50" xfId="0" applyFont="1" applyFill="1" applyBorder="1"/>
    <xf numFmtId="0" fontId="7" fillId="0" borderId="50" xfId="0" applyFont="1" applyBorder="1" applyAlignment="1">
      <alignment horizontal="left"/>
    </xf>
    <xf numFmtId="0" fontId="4" fillId="0" borderId="50" xfId="0" applyFont="1" applyBorder="1"/>
    <xf numFmtId="0" fontId="0" fillId="0" borderId="45" xfId="0" applyBorder="1" applyAlignment="1">
      <alignment horizontal="center"/>
    </xf>
    <xf numFmtId="0" fontId="0" fillId="0" borderId="6" xfId="0" applyBorder="1" applyAlignment="1">
      <alignment horizontal="left" indent="5"/>
    </xf>
    <xf numFmtId="0" fontId="8" fillId="0" borderId="1" xfId="0" applyFont="1" applyBorder="1"/>
    <xf numFmtId="0" fontId="18" fillId="0" borderId="34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10" fontId="7" fillId="0" borderId="23" xfId="0" applyNumberFormat="1" applyFont="1" applyBorder="1"/>
    <xf numFmtId="164" fontId="13" fillId="8" borderId="0" xfId="0" applyNumberFormat="1" applyFont="1" applyFill="1" applyAlignment="1">
      <alignment horizontal="center" vertical="center" wrapText="1"/>
    </xf>
    <xf numFmtId="164" fontId="1" fillId="8" borderId="0" xfId="0" applyNumberFormat="1" applyFont="1" applyFill="1" applyAlignment="1" applyProtection="1">
      <alignment horizontal="right"/>
      <protection locked="0"/>
    </xf>
    <xf numFmtId="10" fontId="7" fillId="0" borderId="14" xfId="0" applyNumberFormat="1" applyFont="1" applyBorder="1"/>
    <xf numFmtId="10" fontId="7" fillId="3" borderId="3" xfId="0" applyNumberFormat="1" applyFont="1" applyFill="1" applyBorder="1"/>
    <xf numFmtId="10" fontId="7" fillId="5" borderId="3" xfId="0" applyNumberFormat="1" applyFont="1" applyFill="1" applyBorder="1"/>
    <xf numFmtId="10" fontId="19" fillId="9" borderId="23" xfId="0" applyNumberFormat="1" applyFont="1" applyFill="1" applyBorder="1"/>
    <xf numFmtId="0" fontId="0" fillId="0" borderId="40" xfId="0" applyBorder="1"/>
    <xf numFmtId="0" fontId="0" fillId="0" borderId="10" xfId="0" applyBorder="1"/>
    <xf numFmtId="0" fontId="1" fillId="0" borderId="22" xfId="0" applyFont="1" applyBorder="1" applyAlignment="1" applyProtection="1">
      <alignment horizontal="left"/>
      <protection locked="0"/>
    </xf>
    <xf numFmtId="166" fontId="17" fillId="9" borderId="38" xfId="0" applyNumberFormat="1" applyFont="1" applyFill="1" applyBorder="1"/>
    <xf numFmtId="166" fontId="17" fillId="9" borderId="30" xfId="0" applyNumberFormat="1" applyFont="1" applyFill="1" applyBorder="1"/>
    <xf numFmtId="166" fontId="1" fillId="3" borderId="25" xfId="0" applyNumberFormat="1" applyFont="1" applyFill="1" applyBorder="1" applyAlignment="1">
      <alignment horizontal="right"/>
    </xf>
    <xf numFmtId="166" fontId="1" fillId="3" borderId="26" xfId="0" applyNumberFormat="1" applyFont="1" applyFill="1" applyBorder="1" applyAlignment="1">
      <alignment horizontal="right"/>
    </xf>
    <xf numFmtId="166" fontId="1" fillId="3" borderId="29" xfId="0" applyNumberFormat="1" applyFont="1" applyFill="1" applyBorder="1" applyAlignment="1">
      <alignment horizontal="right"/>
    </xf>
    <xf numFmtId="166" fontId="1" fillId="3" borderId="30" xfId="0" applyNumberFormat="1" applyFont="1" applyFill="1" applyBorder="1" applyAlignment="1">
      <alignment horizontal="right"/>
    </xf>
    <xf numFmtId="166" fontId="12" fillId="0" borderId="34" xfId="0" applyNumberFormat="1" applyFont="1" applyBorder="1" applyAlignment="1">
      <alignment horizontal="center"/>
    </xf>
    <xf numFmtId="166" fontId="12" fillId="0" borderId="18" xfId="0" applyNumberFormat="1" applyFont="1" applyBorder="1" applyAlignment="1">
      <alignment horizontal="center"/>
    </xf>
    <xf numFmtId="166" fontId="12" fillId="0" borderId="35" xfId="0" applyNumberFormat="1" applyFont="1" applyBorder="1" applyAlignment="1">
      <alignment horizontal="center"/>
    </xf>
    <xf numFmtId="166" fontId="0" fillId="5" borderId="55" xfId="0" applyNumberFormat="1" applyFill="1" applyBorder="1" applyProtection="1">
      <protection locked="0"/>
    </xf>
    <xf numFmtId="166" fontId="1" fillId="5" borderId="56" xfId="0" applyNumberFormat="1" applyFont="1" applyFill="1" applyBorder="1"/>
    <xf numFmtId="166" fontId="1" fillId="5" borderId="3" xfId="0" applyNumberFormat="1" applyFont="1" applyFill="1" applyBorder="1"/>
    <xf numFmtId="165" fontId="1" fillId="5" borderId="34" xfId="0" applyNumberFormat="1" applyFont="1" applyFill="1" applyBorder="1"/>
    <xf numFmtId="3" fontId="0" fillId="11" borderId="51" xfId="0" applyNumberFormat="1" applyFill="1" applyBorder="1" applyAlignment="1">
      <alignment horizontal="right"/>
    </xf>
    <xf numFmtId="3" fontId="0" fillId="11" borderId="9" xfId="0" applyNumberFormat="1" applyFill="1" applyBorder="1" applyAlignment="1">
      <alignment horizontal="right"/>
    </xf>
    <xf numFmtId="3" fontId="0" fillId="0" borderId="9" xfId="0" applyNumberFormat="1" applyBorder="1" applyAlignment="1" applyProtection="1">
      <alignment horizontal="right"/>
      <protection locked="0"/>
    </xf>
    <xf numFmtId="3" fontId="0" fillId="0" borderId="8" xfId="0" applyNumberFormat="1" applyBorder="1" applyAlignment="1" applyProtection="1">
      <alignment horizontal="right"/>
      <protection locked="0"/>
    </xf>
    <xf numFmtId="3" fontId="0" fillId="0" borderId="23" xfId="0" applyNumberFormat="1" applyBorder="1" applyAlignment="1" applyProtection="1">
      <alignment horizontal="right"/>
      <protection locked="0"/>
    </xf>
    <xf numFmtId="3" fontId="0" fillId="0" borderId="23" xfId="0" applyNumberFormat="1" applyBorder="1" applyAlignment="1">
      <alignment horizontal="right"/>
    </xf>
    <xf numFmtId="3" fontId="0" fillId="10" borderId="49" xfId="0" applyNumberFormat="1" applyFill="1" applyBorder="1" applyAlignment="1" applyProtection="1">
      <alignment horizontal="right"/>
      <protection locked="0"/>
    </xf>
    <xf numFmtId="3" fontId="0" fillId="11" borderId="1" xfId="0" applyNumberFormat="1" applyFill="1" applyBorder="1" applyAlignment="1">
      <alignment horizontal="right"/>
    </xf>
    <xf numFmtId="3" fontId="0" fillId="0" borderId="43" xfId="0" applyNumberFormat="1" applyBorder="1" applyAlignment="1" applyProtection="1">
      <alignment horizontal="right"/>
      <protection locked="0"/>
    </xf>
    <xf numFmtId="3" fontId="0" fillId="2" borderId="23" xfId="0" applyNumberFormat="1" applyFill="1" applyBorder="1" applyAlignment="1" applyProtection="1">
      <alignment horizontal="right"/>
      <protection locked="0"/>
    </xf>
    <xf numFmtId="3" fontId="6" fillId="5" borderId="49" xfId="0" applyNumberFormat="1" applyFont="1" applyFill="1" applyBorder="1" applyAlignment="1" applyProtection="1">
      <alignment horizontal="right"/>
      <protection locked="0"/>
    </xf>
    <xf numFmtId="3" fontId="6" fillId="11" borderId="1" xfId="0" applyNumberFormat="1" applyFont="1" applyFill="1" applyBorder="1" applyAlignment="1">
      <alignment horizontal="right"/>
    </xf>
    <xf numFmtId="3" fontId="0" fillId="2" borderId="15" xfId="0" applyNumberFormat="1" applyFill="1" applyBorder="1" applyAlignment="1" applyProtection="1">
      <alignment horizontal="right"/>
      <protection locked="0"/>
    </xf>
    <xf numFmtId="3" fontId="0" fillId="11" borderId="49" xfId="0" applyNumberFormat="1" applyFill="1" applyBorder="1" applyAlignment="1">
      <alignment horizontal="right"/>
    </xf>
    <xf numFmtId="3" fontId="6" fillId="0" borderId="1" xfId="0" applyNumberFormat="1" applyFont="1" applyBorder="1" applyAlignment="1" applyProtection="1">
      <alignment horizontal="right"/>
      <protection locked="0"/>
    </xf>
    <xf numFmtId="3" fontId="6" fillId="11" borderId="49" xfId="0" applyNumberFormat="1" applyFont="1" applyFill="1" applyBorder="1" applyAlignment="1">
      <alignment horizontal="right"/>
    </xf>
    <xf numFmtId="3" fontId="0" fillId="0" borderId="1" xfId="0" applyNumberFormat="1" applyBorder="1" applyAlignment="1" applyProtection="1">
      <alignment horizontal="right"/>
      <protection locked="0"/>
    </xf>
    <xf numFmtId="3" fontId="0" fillId="0" borderId="15" xfId="0" applyNumberFormat="1" applyBorder="1" applyAlignment="1" applyProtection="1">
      <alignment horizontal="right"/>
      <protection locked="0"/>
    </xf>
    <xf numFmtId="3" fontId="0" fillId="11" borderId="11" xfId="0" applyNumberFormat="1" applyFill="1" applyBorder="1" applyAlignment="1">
      <alignment horizontal="right"/>
    </xf>
    <xf numFmtId="3" fontId="0" fillId="11" borderId="44" xfId="0" applyNumberFormat="1" applyFill="1" applyBorder="1" applyAlignment="1">
      <alignment horizontal="right"/>
    </xf>
    <xf numFmtId="3" fontId="0" fillId="0" borderId="44" xfId="0" applyNumberFormat="1" applyBorder="1" applyAlignment="1" applyProtection="1">
      <alignment horizontal="right"/>
      <protection locked="0"/>
    </xf>
    <xf numFmtId="3" fontId="0" fillId="0" borderId="12" xfId="0" applyNumberFormat="1" applyBorder="1" applyAlignment="1" applyProtection="1">
      <alignment horizontal="right"/>
      <protection locked="0"/>
    </xf>
    <xf numFmtId="3" fontId="0" fillId="0" borderId="16" xfId="0" applyNumberFormat="1" applyBorder="1" applyAlignment="1" applyProtection="1">
      <alignment horizontal="right"/>
      <protection locked="0"/>
    </xf>
    <xf numFmtId="3" fontId="0" fillId="0" borderId="14" xfId="0" applyNumberFormat="1" applyBorder="1" applyAlignment="1">
      <alignment horizontal="right"/>
    </xf>
    <xf numFmtId="3" fontId="0" fillId="0" borderId="4" xfId="0" applyNumberFormat="1" applyBorder="1" applyProtection="1">
      <protection locked="0"/>
    </xf>
    <xf numFmtId="3" fontId="0" fillId="0" borderId="7" xfId="0" applyNumberFormat="1" applyBorder="1" applyProtection="1">
      <protection locked="0"/>
    </xf>
    <xf numFmtId="3" fontId="0" fillId="0" borderId="55" xfId="0" applyNumberFormat="1" applyBorder="1" applyProtection="1">
      <protection locked="0"/>
    </xf>
    <xf numFmtId="3" fontId="0" fillId="0" borderId="13" xfId="0" applyNumberFormat="1" applyBorder="1" applyAlignment="1">
      <alignment horizontal="right"/>
    </xf>
    <xf numFmtId="3" fontId="0" fillId="0" borderId="49" xfId="0" applyNumberFormat="1" applyBorder="1" applyProtection="1">
      <protection locked="0"/>
    </xf>
    <xf numFmtId="3" fontId="0" fillId="0" borderId="2" xfId="0" applyNumberFormat="1" applyBorder="1" applyProtection="1">
      <protection locked="0"/>
    </xf>
    <xf numFmtId="3" fontId="0" fillId="0" borderId="54" xfId="0" applyNumberFormat="1" applyBorder="1" applyProtection="1">
      <protection locked="0"/>
    </xf>
    <xf numFmtId="3" fontId="0" fillId="0" borderId="11" xfId="0" applyNumberFormat="1" applyBorder="1" applyProtection="1">
      <protection locked="0"/>
    </xf>
    <xf numFmtId="3" fontId="0" fillId="0" borderId="40" xfId="0" applyNumberFormat="1" applyBorder="1" applyProtection="1">
      <protection locked="0"/>
    </xf>
    <xf numFmtId="3" fontId="0" fillId="0" borderId="57" xfId="0" applyNumberFormat="1" applyBorder="1" applyProtection="1">
      <protection locked="0"/>
    </xf>
    <xf numFmtId="3" fontId="1" fillId="5" borderId="34" xfId="0" applyNumberFormat="1" applyFont="1" applyFill="1" applyBorder="1"/>
    <xf numFmtId="3" fontId="0" fillId="5" borderId="55" xfId="0" applyNumberFormat="1" applyFill="1" applyBorder="1" applyProtection="1">
      <protection locked="0"/>
    </xf>
    <xf numFmtId="3" fontId="1" fillId="5" borderId="56" xfId="0" applyNumberFormat="1" applyFont="1" applyFill="1" applyBorder="1"/>
    <xf numFmtId="3" fontId="0" fillId="8" borderId="0" xfId="0" applyNumberFormat="1" applyFill="1"/>
    <xf numFmtId="3" fontId="1" fillId="4" borderId="30" xfId="0" applyNumberFormat="1" applyFont="1" applyFill="1" applyBorder="1" applyAlignment="1">
      <alignment horizontal="center" vertical="center" wrapText="1"/>
    </xf>
    <xf numFmtId="3" fontId="18" fillId="0" borderId="34" xfId="0" applyNumberFormat="1" applyFont="1" applyBorder="1" applyAlignment="1">
      <alignment horizontal="center"/>
    </xf>
    <xf numFmtId="3" fontId="18" fillId="0" borderId="18" xfId="0" applyNumberFormat="1" applyFont="1" applyBorder="1" applyAlignment="1">
      <alignment horizontal="center"/>
    </xf>
    <xf numFmtId="3" fontId="1" fillId="3" borderId="25" xfId="0" applyNumberFormat="1" applyFont="1" applyFill="1" applyBorder="1" applyAlignment="1">
      <alignment horizontal="right"/>
    </xf>
    <xf numFmtId="3" fontId="1" fillId="3" borderId="26" xfId="0" applyNumberFormat="1" applyFont="1" applyFill="1" applyBorder="1" applyAlignment="1">
      <alignment horizontal="right"/>
    </xf>
    <xf numFmtId="3" fontId="1" fillId="3" borderId="29" xfId="0" applyNumberFormat="1" applyFont="1" applyFill="1" applyBorder="1" applyAlignment="1">
      <alignment horizontal="right"/>
    </xf>
    <xf numFmtId="3" fontId="1" fillId="3" borderId="30" xfId="0" applyNumberFormat="1" applyFont="1" applyFill="1" applyBorder="1" applyAlignment="1">
      <alignment horizontal="right"/>
    </xf>
    <xf numFmtId="3" fontId="12" fillId="0" borderId="34" xfId="0" applyNumberFormat="1" applyFont="1" applyBorder="1" applyAlignment="1">
      <alignment horizontal="center"/>
    </xf>
    <xf numFmtId="3" fontId="12" fillId="0" borderId="18" xfId="0" applyNumberFormat="1" applyFont="1" applyBorder="1" applyAlignment="1">
      <alignment horizontal="center"/>
    </xf>
    <xf numFmtId="3" fontId="12" fillId="0" borderId="35" xfId="0" applyNumberFormat="1" applyFont="1" applyBorder="1" applyAlignment="1">
      <alignment horizontal="center"/>
    </xf>
    <xf numFmtId="3" fontId="1" fillId="5" borderId="3" xfId="0" applyNumberFormat="1" applyFont="1" applyFill="1" applyBorder="1"/>
    <xf numFmtId="3" fontId="16" fillId="6" borderId="38" xfId="0" applyNumberFormat="1" applyFont="1" applyFill="1" applyBorder="1"/>
    <xf numFmtId="3" fontId="17" fillId="9" borderId="38" xfId="0" applyNumberFormat="1" applyFont="1" applyFill="1" applyBorder="1"/>
    <xf numFmtId="3" fontId="17" fillId="9" borderId="30" xfId="0" applyNumberFormat="1" applyFont="1" applyFill="1" applyBorder="1"/>
    <xf numFmtId="3" fontId="5" fillId="14" borderId="34" xfId="0" applyNumberFormat="1" applyFont="1" applyFill="1" applyBorder="1" applyAlignment="1">
      <alignment horizontal="center"/>
    </xf>
    <xf numFmtId="3" fontId="5" fillId="14" borderId="18" xfId="0" applyNumberFormat="1" applyFont="1" applyFill="1" applyBorder="1"/>
    <xf numFmtId="3" fontId="2" fillId="14" borderId="18" xfId="0" applyNumberFormat="1" applyFont="1" applyFill="1" applyBorder="1"/>
    <xf numFmtId="3" fontId="5" fillId="14" borderId="19" xfId="0" applyNumberFormat="1" applyFont="1" applyFill="1" applyBorder="1"/>
    <xf numFmtId="3" fontId="2" fillId="7" borderId="3" xfId="0" applyNumberFormat="1" applyFont="1" applyFill="1" applyBorder="1"/>
    <xf numFmtId="3" fontId="1" fillId="14" borderId="34" xfId="0" applyNumberFormat="1" applyFont="1" applyFill="1" applyBorder="1" applyProtection="1">
      <protection locked="0"/>
    </xf>
    <xf numFmtId="3" fontId="1" fillId="14" borderId="18" xfId="0" applyNumberFormat="1" applyFont="1" applyFill="1" applyBorder="1"/>
    <xf numFmtId="3" fontId="1" fillId="14" borderId="19" xfId="0" applyNumberFormat="1" applyFont="1" applyFill="1" applyBorder="1"/>
    <xf numFmtId="3" fontId="1" fillId="0" borderId="31" xfId="0" applyNumberFormat="1" applyFont="1" applyBorder="1" applyProtection="1">
      <protection locked="0"/>
    </xf>
    <xf numFmtId="3" fontId="1" fillId="0" borderId="32" xfId="0" applyNumberFormat="1" applyFont="1" applyBorder="1" applyProtection="1">
      <protection locked="0"/>
    </xf>
    <xf numFmtId="3" fontId="1" fillId="0" borderId="20" xfId="0" applyNumberFormat="1" applyFont="1" applyBorder="1" applyProtection="1">
      <protection locked="0"/>
    </xf>
    <xf numFmtId="3" fontId="13" fillId="14" borderId="34" xfId="0" applyNumberFormat="1" applyFont="1" applyFill="1" applyBorder="1" applyAlignment="1" applyProtection="1">
      <alignment horizontal="center" wrapText="1"/>
      <protection locked="0"/>
    </xf>
    <xf numFmtId="3" fontId="13" fillId="14" borderId="19" xfId="0" applyNumberFormat="1" applyFont="1" applyFill="1" applyBorder="1" applyAlignment="1">
      <alignment horizontal="center" wrapText="1"/>
    </xf>
    <xf numFmtId="3" fontId="1" fillId="0" borderId="48" xfId="0" applyNumberFormat="1" applyFont="1" applyBorder="1" applyProtection="1">
      <protection locked="0"/>
    </xf>
    <xf numFmtId="3" fontId="1" fillId="12" borderId="1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 applyProtection="1">
      <alignment horizontal="right"/>
      <protection locked="0"/>
    </xf>
    <xf numFmtId="3" fontId="1" fillId="0" borderId="1" xfId="0" applyNumberFormat="1" applyFont="1" applyBorder="1"/>
    <xf numFmtId="3" fontId="1" fillId="0" borderId="1" xfId="0" applyNumberFormat="1" applyFont="1" applyBorder="1" applyProtection="1">
      <protection locked="0"/>
    </xf>
    <xf numFmtId="3" fontId="0" fillId="0" borderId="39" xfId="0" applyNumberFormat="1" applyBorder="1"/>
    <xf numFmtId="3" fontId="0" fillId="0" borderId="0" xfId="0" applyNumberFormat="1"/>
    <xf numFmtId="3" fontId="0" fillId="0" borderId="52" xfId="0" applyNumberFormat="1" applyBorder="1"/>
    <xf numFmtId="3" fontId="1" fillId="0" borderId="0" xfId="0" applyNumberFormat="1" applyFont="1" applyAlignment="1" applyProtection="1">
      <alignment horizontal="left"/>
      <protection locked="0"/>
    </xf>
    <xf numFmtId="3" fontId="7" fillId="8" borderId="0" xfId="0" applyNumberFormat="1" applyFont="1" applyFill="1"/>
    <xf numFmtId="3" fontId="5" fillId="14" borderId="35" xfId="0" applyNumberFormat="1" applyFont="1" applyFill="1" applyBorder="1"/>
    <xf numFmtId="3" fontId="1" fillId="8" borderId="0" xfId="0" applyNumberFormat="1" applyFont="1" applyFill="1" applyAlignment="1">
      <alignment horizontal="center"/>
    </xf>
    <xf numFmtId="3" fontId="1" fillId="8" borderId="0" xfId="0" applyNumberFormat="1" applyFont="1" applyFill="1"/>
    <xf numFmtId="3" fontId="5" fillId="8" borderId="0" xfId="0" applyNumberFormat="1" applyFont="1" applyFill="1" applyAlignment="1">
      <alignment horizontal="right"/>
    </xf>
    <xf numFmtId="3" fontId="1" fillId="8" borderId="0" xfId="0" applyNumberFormat="1" applyFont="1" applyFill="1" applyProtection="1">
      <protection locked="0"/>
    </xf>
    <xf numFmtId="3" fontId="1" fillId="8" borderId="0" xfId="0" applyNumberFormat="1" applyFont="1" applyFill="1" applyAlignment="1">
      <alignment horizontal="left"/>
    </xf>
    <xf numFmtId="3" fontId="1" fillId="0" borderId="0" xfId="0" applyNumberFormat="1" applyFont="1" applyAlignment="1">
      <alignment horizontal="left"/>
    </xf>
    <xf numFmtId="0" fontId="6" fillId="8" borderId="0" xfId="0" applyFont="1" applyFill="1"/>
    <xf numFmtId="164" fontId="20" fillId="8" borderId="0" xfId="0" applyNumberFormat="1" applyFont="1" applyFill="1"/>
    <xf numFmtId="0" fontId="0" fillId="0" borderId="0" xfId="0" applyAlignment="1" applyProtection="1">
      <alignment horizontal="left"/>
      <protection locked="0"/>
    </xf>
    <xf numFmtId="164" fontId="8" fillId="0" borderId="1" xfId="0" applyNumberFormat="1" applyFont="1" applyBorder="1"/>
    <xf numFmtId="164" fontId="8" fillId="0" borderId="1" xfId="0" applyNumberFormat="1" applyFont="1" applyBorder="1" applyAlignment="1" applyProtection="1">
      <alignment horizontal="right"/>
      <protection locked="0"/>
    </xf>
    <xf numFmtId="164" fontId="8" fillId="12" borderId="1" xfId="0" applyNumberFormat="1" applyFont="1" applyFill="1" applyBorder="1" applyAlignment="1">
      <alignment horizontal="center"/>
    </xf>
    <xf numFmtId="164" fontId="8" fillId="0" borderId="1" xfId="0" applyNumberFormat="1" applyFont="1" applyBorder="1" applyProtection="1">
      <protection locked="0"/>
    </xf>
    <xf numFmtId="3" fontId="8" fillId="0" borderId="1" xfId="0" applyNumberFormat="1" applyFont="1" applyBorder="1"/>
    <xf numFmtId="3" fontId="8" fillId="0" borderId="1" xfId="0" applyNumberFormat="1" applyFont="1" applyBorder="1" applyAlignment="1" applyProtection="1">
      <alignment horizontal="right"/>
      <protection locked="0"/>
    </xf>
    <xf numFmtId="0" fontId="1" fillId="0" borderId="22" xfId="0" applyFont="1" applyBorder="1"/>
    <xf numFmtId="0" fontId="0" fillId="0" borderId="22" xfId="0" applyBorder="1" applyAlignment="1" applyProtection="1">
      <alignment horizontal="left"/>
      <protection locked="0"/>
    </xf>
    <xf numFmtId="9" fontId="0" fillId="0" borderId="0" xfId="0" applyNumberFormat="1"/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56" xfId="0" applyFont="1" applyFill="1" applyBorder="1" applyAlignment="1">
      <alignment horizontal="center" vertical="center" wrapText="1"/>
    </xf>
    <xf numFmtId="3" fontId="1" fillId="3" borderId="41" xfId="0" applyNumberFormat="1" applyFont="1" applyFill="1" applyBorder="1" applyAlignment="1">
      <alignment horizontal="center" vertical="center" wrapText="1"/>
    </xf>
    <xf numFmtId="3" fontId="1" fillId="3" borderId="42" xfId="0" applyNumberFormat="1" applyFont="1" applyFill="1" applyBorder="1" applyAlignment="1">
      <alignment horizontal="center" vertical="center" wrapText="1"/>
    </xf>
    <xf numFmtId="3" fontId="1" fillId="3" borderId="56" xfId="0" applyNumberFormat="1" applyFont="1" applyFill="1" applyBorder="1" applyAlignment="1">
      <alignment horizontal="center" vertical="center" wrapText="1"/>
    </xf>
    <xf numFmtId="3" fontId="16" fillId="0" borderId="17" xfId="0" applyNumberFormat="1" applyFont="1" applyBorder="1" applyAlignment="1">
      <alignment horizontal="center" vertical="center"/>
    </xf>
    <xf numFmtId="3" fontId="16" fillId="0" borderId="18" xfId="0" applyNumberFormat="1" applyFont="1" applyBorder="1" applyAlignment="1">
      <alignment horizontal="center" vertical="center"/>
    </xf>
    <xf numFmtId="3" fontId="16" fillId="0" borderId="19" xfId="0" applyNumberFormat="1" applyFont="1" applyBorder="1" applyAlignment="1">
      <alignment horizontal="center" vertical="center"/>
    </xf>
    <xf numFmtId="3" fontId="1" fillId="4" borderId="28" xfId="0" applyNumberFormat="1" applyFont="1" applyFill="1" applyBorder="1" applyAlignment="1">
      <alignment horizontal="center" vertical="center" wrapText="1"/>
    </xf>
    <xf numFmtId="3" fontId="1" fillId="4" borderId="26" xfId="0" applyNumberFormat="1" applyFont="1" applyFill="1" applyBorder="1" applyAlignment="1">
      <alignment horizontal="center" vertical="center" wrapText="1"/>
    </xf>
    <xf numFmtId="3" fontId="1" fillId="4" borderId="29" xfId="0" applyNumberFormat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66" fontId="8" fillId="5" borderId="41" xfId="0" applyNumberFormat="1" applyFont="1" applyFill="1" applyBorder="1" applyAlignment="1">
      <alignment horizontal="center"/>
    </xf>
    <xf numFmtId="166" fontId="8" fillId="5" borderId="42" xfId="0" applyNumberFormat="1" applyFont="1" applyFill="1" applyBorder="1" applyAlignment="1">
      <alignment horizontal="center"/>
    </xf>
    <xf numFmtId="166" fontId="8" fillId="5" borderId="59" xfId="0" applyNumberFormat="1" applyFont="1" applyFill="1" applyBorder="1" applyAlignment="1">
      <alignment horizontal="center"/>
    </xf>
    <xf numFmtId="166" fontId="8" fillId="5" borderId="53" xfId="0" applyNumberFormat="1" applyFont="1" applyFill="1" applyBorder="1" applyAlignment="1">
      <alignment horizontal="center"/>
    </xf>
    <xf numFmtId="166" fontId="1" fillId="0" borderId="41" xfId="0" applyNumberFormat="1" applyFont="1" applyBorder="1" applyAlignment="1">
      <alignment horizontal="center"/>
    </xf>
    <xf numFmtId="166" fontId="1" fillId="0" borderId="42" xfId="0" applyNumberFormat="1" applyFont="1" applyBorder="1" applyAlignment="1">
      <alignment horizontal="center"/>
    </xf>
    <xf numFmtId="166" fontId="0" fillId="0" borderId="27" xfId="0" applyNumberFormat="1" applyBorder="1" applyAlignment="1">
      <alignment horizontal="center" vertical="center"/>
    </xf>
    <xf numFmtId="166" fontId="0" fillId="0" borderId="20" xfId="0" applyNumberFormat="1" applyBorder="1" applyAlignment="1">
      <alignment horizontal="center" vertical="center"/>
    </xf>
    <xf numFmtId="166" fontId="0" fillId="0" borderId="30" xfId="0" applyNumberFormat="1" applyBorder="1" applyAlignment="1">
      <alignment horizontal="center" vertical="center"/>
    </xf>
    <xf numFmtId="166" fontId="0" fillId="0" borderId="21" xfId="0" applyNumberFormat="1" applyBorder="1" applyAlignment="1">
      <alignment horizontal="center" vertical="center"/>
    </xf>
    <xf numFmtId="166" fontId="14" fillId="0" borderId="53" xfId="0" applyNumberFormat="1" applyFont="1" applyBorder="1" applyAlignment="1">
      <alignment horizontal="center" vertical="center"/>
    </xf>
    <xf numFmtId="166" fontId="14" fillId="0" borderId="48" xfId="0" applyNumberFormat="1" applyFon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3" fontId="0" fillId="0" borderId="30" xfId="0" applyNumberFormat="1" applyBorder="1" applyAlignment="1">
      <alignment horizontal="center" vertical="center" wrapText="1"/>
    </xf>
    <xf numFmtId="3" fontId="0" fillId="0" borderId="21" xfId="0" applyNumberForma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3" fontId="0" fillId="0" borderId="34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30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3" fontId="8" fillId="5" borderId="41" xfId="0" applyNumberFormat="1" applyFont="1" applyFill="1" applyBorder="1" applyAlignment="1">
      <alignment horizontal="center"/>
    </xf>
    <xf numFmtId="3" fontId="8" fillId="5" borderId="42" xfId="0" applyNumberFormat="1" applyFont="1" applyFill="1" applyBorder="1" applyAlignment="1">
      <alignment horizontal="center"/>
    </xf>
    <xf numFmtId="3" fontId="8" fillId="5" borderId="59" xfId="0" applyNumberFormat="1" applyFont="1" applyFill="1" applyBorder="1" applyAlignment="1">
      <alignment horizontal="center"/>
    </xf>
    <xf numFmtId="3" fontId="8" fillId="5" borderId="53" xfId="0" applyNumberFormat="1" applyFont="1" applyFill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18" xfId="0" applyBorder="1" applyAlignment="1">
      <alignment horizontal="center"/>
    </xf>
    <xf numFmtId="3" fontId="1" fillId="0" borderId="0" xfId="0" applyNumberFormat="1" applyFont="1" applyAlignment="1" applyProtection="1">
      <alignment horizontal="left"/>
      <protection locked="0"/>
    </xf>
    <xf numFmtId="0" fontId="1" fillId="13" borderId="0" xfId="0" applyFont="1" applyFill="1" applyAlignment="1" applyProtection="1">
      <alignment horizontal="left"/>
      <protection locked="0"/>
    </xf>
    <xf numFmtId="0" fontId="7" fillId="0" borderId="22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1" fillId="12" borderId="58" xfId="0" applyFont="1" applyFill="1" applyBorder="1" applyAlignment="1">
      <alignment horizontal="left" vertical="center"/>
    </xf>
    <xf numFmtId="0" fontId="1" fillId="12" borderId="47" xfId="0" applyFont="1" applyFill="1" applyBorder="1" applyAlignment="1">
      <alignment horizontal="left" vertical="center"/>
    </xf>
    <xf numFmtId="0" fontId="1" fillId="12" borderId="21" xfId="0" applyFont="1" applyFill="1" applyBorder="1" applyAlignment="1">
      <alignment horizontal="left" vertical="center"/>
    </xf>
    <xf numFmtId="0" fontId="0" fillId="0" borderId="22" xfId="0" applyBorder="1" applyAlignment="1" applyProtection="1">
      <alignment horizontal="left"/>
      <protection locked="0"/>
    </xf>
    <xf numFmtId="164" fontId="1" fillId="0" borderId="39" xfId="0" applyNumberFormat="1" applyFont="1" applyBorder="1" applyAlignment="1" applyProtection="1">
      <alignment horizontal="left"/>
      <protection locked="0"/>
    </xf>
    <xf numFmtId="3" fontId="14" fillId="0" borderId="53" xfId="0" applyNumberFormat="1" applyFont="1" applyBorder="1" applyAlignment="1">
      <alignment horizontal="center" vertical="center"/>
    </xf>
    <xf numFmtId="3" fontId="14" fillId="0" borderId="48" xfId="0" applyNumberFormat="1" applyFont="1" applyBorder="1" applyAlignment="1">
      <alignment horizontal="center" vertical="center"/>
    </xf>
    <xf numFmtId="3" fontId="1" fillId="0" borderId="41" xfId="0" applyNumberFormat="1" applyFont="1" applyBorder="1" applyAlignment="1">
      <alignment horizontal="center"/>
    </xf>
    <xf numFmtId="3" fontId="1" fillId="0" borderId="42" xfId="0" applyNumberFormat="1" applyFont="1" applyBorder="1" applyAlignment="1">
      <alignment horizontal="center"/>
    </xf>
    <xf numFmtId="164" fontId="0" fillId="0" borderId="27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64" fontId="8" fillId="5" borderId="41" xfId="0" applyNumberFormat="1" applyFont="1" applyFill="1" applyBorder="1" applyAlignment="1">
      <alignment horizontal="center"/>
    </xf>
    <xf numFmtId="164" fontId="8" fillId="5" borderId="42" xfId="0" applyNumberFormat="1" applyFont="1" applyFill="1" applyBorder="1" applyAlignment="1">
      <alignment horizontal="center"/>
    </xf>
    <xf numFmtId="164" fontId="8" fillId="5" borderId="59" xfId="0" applyNumberFormat="1" applyFont="1" applyFill="1" applyBorder="1" applyAlignment="1">
      <alignment horizontal="center"/>
    </xf>
    <xf numFmtId="164" fontId="8" fillId="5" borderId="53" xfId="0" applyNumberFormat="1" applyFont="1" applyFill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" fontId="1" fillId="0" borderId="30" xfId="0" applyNumberFormat="1" applyFont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center" vertical="center" wrapText="1"/>
    </xf>
    <xf numFmtId="10" fontId="15" fillId="0" borderId="30" xfId="0" applyNumberFormat="1" applyFont="1" applyBorder="1" applyAlignment="1">
      <alignment horizontal="center" vertical="center" wrapText="1"/>
    </xf>
    <xf numFmtId="10" fontId="15" fillId="0" borderId="14" xfId="0" applyNumberFormat="1" applyFont="1" applyBorder="1" applyAlignment="1">
      <alignment horizontal="center" vertical="center" wrapText="1"/>
    </xf>
    <xf numFmtId="10" fontId="15" fillId="0" borderId="21" xfId="0" applyNumberFormat="1" applyFont="1" applyBorder="1" applyAlignment="1">
      <alignment horizontal="center" vertical="center" wrapText="1"/>
    </xf>
    <xf numFmtId="10" fontId="1" fillId="0" borderId="30" xfId="0" applyNumberFormat="1" applyFont="1" applyBorder="1" applyAlignment="1">
      <alignment horizontal="center" vertical="center" wrapText="1"/>
    </xf>
    <xf numFmtId="10" fontId="1" fillId="0" borderId="14" xfId="0" applyNumberFormat="1" applyFont="1" applyBorder="1" applyAlignment="1">
      <alignment horizontal="center" vertical="center" wrapText="1"/>
    </xf>
    <xf numFmtId="10" fontId="1" fillId="0" borderId="21" xfId="0" applyNumberFormat="1" applyFont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_Tabulka školy, návrh rozpočtu" xfId="2" xr:uid="{00000000-0005-0000-0000-000002000000}"/>
  </cellStyles>
  <dxfs count="4"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nika\Documents\1_FIRMY\2_ZOO\2023\podklady%20pro%20dan&#283;\odeslat\St&#345;ediska_pro_dan&#283;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tečnost po stř (2)"/>
      <sheetName val="střediska"/>
      <sheetName val="HV celé"/>
      <sheetName val="2000"/>
      <sheetName val="2600"/>
      <sheetName val="2700"/>
      <sheetName val="4200"/>
      <sheetName val="5000"/>
      <sheetName val="6000"/>
      <sheetName val="7000"/>
      <sheetName val="0001"/>
      <sheetName val="skutečnost po stř"/>
    </sheetNames>
    <sheetDataSet>
      <sheetData sheetId="0"/>
      <sheetData sheetId="1">
        <row r="149">
          <cell r="F149">
            <v>15994264</v>
          </cell>
        </row>
        <row r="151">
          <cell r="F151">
            <v>3024053.65</v>
          </cell>
        </row>
        <row r="158">
          <cell r="F158">
            <v>10770014.91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E128"/>
  <sheetViews>
    <sheetView tabSelected="1" zoomScale="85" zoomScaleNormal="85" workbookViewId="0">
      <selection activeCell="V48" sqref="V48"/>
    </sheetView>
  </sheetViews>
  <sheetFormatPr defaultColWidth="9.140625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style="176" customWidth="1"/>
    <col min="5" max="5" width="17.85546875" style="176" customWidth="1"/>
    <col min="6" max="6" width="16.85546875" style="176" customWidth="1"/>
    <col min="7" max="7" width="21.28515625" style="176" customWidth="1"/>
    <col min="8" max="8" width="14.85546875" style="176" customWidth="1"/>
    <col min="9" max="9" width="17.7109375" style="176" customWidth="1"/>
    <col min="10" max="10" width="16.140625" customWidth="1"/>
    <col min="11" max="11" width="17.85546875" customWidth="1"/>
    <col min="12" max="12" width="15.140625" customWidth="1"/>
    <col min="13" max="13" width="23.42578125" style="1" customWidth="1"/>
    <col min="14" max="14" width="14.28515625" customWidth="1"/>
    <col min="15" max="15" width="19.140625" customWidth="1"/>
    <col min="16" max="18" width="16.42578125" hidden="1" customWidth="1"/>
    <col min="19" max="19" width="21.140625" hidden="1" customWidth="1"/>
    <col min="20" max="20" width="14.85546875" hidden="1" customWidth="1"/>
    <col min="21" max="21" width="16.28515625" hidden="1" customWidth="1"/>
    <col min="22" max="22" width="16.140625" style="176" bestFit="1" customWidth="1"/>
    <col min="23" max="23" width="14.140625" style="176" bestFit="1" customWidth="1"/>
    <col min="24" max="24" width="16.7109375" style="176" bestFit="1" customWidth="1"/>
    <col min="25" max="25" width="18.7109375" style="176" bestFit="1" customWidth="1"/>
    <col min="26" max="26" width="12.7109375" style="176" bestFit="1" customWidth="1"/>
    <col min="27" max="27" width="13.140625" style="176" bestFit="1" customWidth="1"/>
    <col min="28" max="28" width="17.7109375" customWidth="1"/>
    <col min="29" max="29" width="5.85546875" customWidth="1"/>
    <col min="30" max="30" width="12.5703125" customWidth="1"/>
    <col min="31" max="31" width="11.28515625" bestFit="1" customWidth="1"/>
  </cols>
  <sheetData>
    <row r="1" spans="1:30" x14ac:dyDescent="0.25">
      <c r="A1" s="3"/>
      <c r="B1" s="3"/>
      <c r="C1" s="3"/>
      <c r="D1" s="142"/>
      <c r="E1" s="142"/>
      <c r="F1" s="142"/>
      <c r="G1" s="142"/>
      <c r="H1" s="142"/>
      <c r="I1" s="142"/>
      <c r="J1" s="3"/>
      <c r="K1" s="3"/>
      <c r="L1" s="3"/>
      <c r="M1" s="4"/>
      <c r="N1" s="3"/>
      <c r="O1" s="3"/>
      <c r="P1" s="3"/>
      <c r="Q1" s="3"/>
      <c r="R1" s="3"/>
      <c r="S1" s="3"/>
      <c r="T1" s="3"/>
      <c r="U1" s="3"/>
      <c r="V1" s="142"/>
      <c r="W1" s="142"/>
      <c r="X1" s="142"/>
      <c r="Y1" s="142"/>
      <c r="Z1" s="142"/>
      <c r="AA1" s="142"/>
      <c r="AB1" s="3"/>
      <c r="AC1" s="3"/>
    </row>
    <row r="2" spans="1:30" ht="21" x14ac:dyDescent="0.35">
      <c r="A2" s="3"/>
      <c r="B2" s="5" t="s">
        <v>99</v>
      </c>
      <c r="C2" s="3"/>
      <c r="D2" s="142"/>
      <c r="E2" s="142"/>
      <c r="F2" s="142"/>
      <c r="G2" s="142"/>
      <c r="H2" s="142"/>
      <c r="I2" s="142"/>
      <c r="J2" s="3"/>
      <c r="K2" s="3"/>
      <c r="L2" s="3"/>
      <c r="M2" s="4"/>
      <c r="N2" s="3"/>
      <c r="O2" s="3"/>
      <c r="P2" s="3"/>
      <c r="Q2" s="3"/>
      <c r="R2" s="3"/>
      <c r="S2" s="3"/>
      <c r="T2" s="3"/>
      <c r="U2" s="3"/>
      <c r="V2" s="142"/>
      <c r="W2" s="142"/>
      <c r="X2" s="142"/>
      <c r="Y2" s="142"/>
      <c r="Z2" s="142"/>
      <c r="AA2" s="142"/>
      <c r="AB2" s="3"/>
      <c r="AC2" s="3"/>
    </row>
    <row r="3" spans="1:30" ht="19.149999999999999" customHeight="1" x14ac:dyDescent="0.25">
      <c r="A3" s="3"/>
      <c r="B3" s="3"/>
      <c r="C3" s="3"/>
      <c r="D3" s="142"/>
      <c r="E3" s="142"/>
      <c r="F3" s="142"/>
      <c r="G3" s="142"/>
      <c r="H3" s="142"/>
      <c r="I3" s="142"/>
      <c r="J3" s="3"/>
      <c r="K3" s="3"/>
      <c r="L3" s="3"/>
      <c r="M3" s="4"/>
      <c r="N3" s="3"/>
      <c r="O3" s="3"/>
      <c r="P3" s="3"/>
      <c r="Q3" s="3"/>
      <c r="R3" s="3"/>
      <c r="S3" s="3"/>
      <c r="T3" s="3"/>
      <c r="U3" s="3"/>
      <c r="V3" s="142"/>
      <c r="W3" s="142"/>
      <c r="X3" s="142"/>
      <c r="Y3" s="142"/>
      <c r="Z3" s="142"/>
      <c r="AA3" s="142"/>
      <c r="AB3" s="3"/>
      <c r="AC3" s="3"/>
    </row>
    <row r="4" spans="1:30" ht="21" x14ac:dyDescent="0.35">
      <c r="A4" s="3"/>
      <c r="B4" s="3" t="s">
        <v>43</v>
      </c>
      <c r="C4" s="3"/>
      <c r="D4" s="199" t="s">
        <v>117</v>
      </c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42"/>
      <c r="X4" s="142"/>
      <c r="Y4" s="142"/>
      <c r="Z4" s="142"/>
      <c r="AA4" s="142"/>
      <c r="AB4" s="3"/>
      <c r="AC4" s="3"/>
    </row>
    <row r="5" spans="1:30" ht="3.75" customHeight="1" x14ac:dyDescent="0.25">
      <c r="A5" s="3"/>
      <c r="B5" s="3"/>
      <c r="C5" s="3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3"/>
      <c r="V5" s="3"/>
      <c r="W5" s="142"/>
      <c r="X5" s="142"/>
      <c r="Y5" s="142"/>
      <c r="Z5" s="142"/>
      <c r="AA5" s="142"/>
      <c r="AB5" s="3"/>
      <c r="AC5" s="3"/>
    </row>
    <row r="6" spans="1:30" x14ac:dyDescent="0.25">
      <c r="A6" s="3"/>
      <c r="B6" s="3" t="s">
        <v>44</v>
      </c>
      <c r="C6" s="3"/>
      <c r="D6" s="178">
        <v>379719</v>
      </c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3"/>
      <c r="V6" s="3"/>
      <c r="W6" s="142"/>
      <c r="X6" s="142"/>
      <c r="Y6" s="142"/>
      <c r="Z6" s="142"/>
      <c r="AA6" s="142"/>
      <c r="AB6" s="3"/>
      <c r="AC6" s="3"/>
    </row>
    <row r="7" spans="1:30" ht="3.75" customHeight="1" x14ac:dyDescent="0.25">
      <c r="A7" s="3"/>
      <c r="B7" s="3"/>
      <c r="C7" s="3"/>
      <c r="D7" s="179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3"/>
      <c r="V7" s="3"/>
      <c r="W7" s="142"/>
      <c r="X7" s="142"/>
      <c r="Y7" s="142"/>
      <c r="Z7" s="142"/>
      <c r="AA7" s="142"/>
      <c r="AB7" s="3"/>
      <c r="AC7" s="3"/>
    </row>
    <row r="8" spans="1:30" x14ac:dyDescent="0.25">
      <c r="A8" s="3"/>
      <c r="B8" s="3" t="s">
        <v>45</v>
      </c>
      <c r="C8" s="3"/>
      <c r="D8" s="200" t="s">
        <v>118</v>
      </c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142"/>
      <c r="X8" s="142"/>
      <c r="Y8" s="142"/>
      <c r="Z8" s="142"/>
      <c r="AA8" s="142"/>
      <c r="AB8" s="3"/>
      <c r="AC8" s="3"/>
    </row>
    <row r="9" spans="1:30" ht="15.75" thickBot="1" x14ac:dyDescent="0.3">
      <c r="A9" s="3"/>
      <c r="B9" s="3"/>
      <c r="C9" s="3"/>
      <c r="D9" s="142"/>
      <c r="E9" s="142"/>
      <c r="F9" s="142"/>
      <c r="G9" s="142"/>
      <c r="H9" s="142"/>
      <c r="I9" s="142"/>
      <c r="J9" s="3"/>
      <c r="K9" s="3"/>
      <c r="L9" s="3"/>
      <c r="M9" s="4"/>
      <c r="N9" s="3"/>
      <c r="O9" s="3"/>
      <c r="P9" s="3"/>
      <c r="Q9" s="3"/>
      <c r="R9" s="3"/>
      <c r="S9" s="3"/>
      <c r="T9" s="3"/>
      <c r="U9" s="3"/>
      <c r="V9" s="142"/>
      <c r="W9" s="142"/>
      <c r="X9" s="142"/>
      <c r="Y9" s="142"/>
      <c r="Z9" s="142"/>
      <c r="AA9" s="142"/>
      <c r="AB9" s="3"/>
      <c r="AC9" s="3"/>
    </row>
    <row r="10" spans="1:30" ht="29.25" customHeight="1" thickBot="1" x14ac:dyDescent="0.3">
      <c r="A10" s="3"/>
      <c r="B10" s="251" t="s">
        <v>37</v>
      </c>
      <c r="C10" s="239" t="s">
        <v>38</v>
      </c>
      <c r="D10" s="213" t="s">
        <v>100</v>
      </c>
      <c r="E10" s="214"/>
      <c r="F10" s="214"/>
      <c r="G10" s="214"/>
      <c r="H10" s="214"/>
      <c r="I10" s="215"/>
      <c r="J10" s="201" t="s">
        <v>101</v>
      </c>
      <c r="K10" s="202"/>
      <c r="L10" s="202"/>
      <c r="M10" s="202"/>
      <c r="N10" s="202"/>
      <c r="O10" s="203"/>
      <c r="P10" s="201" t="s">
        <v>102</v>
      </c>
      <c r="Q10" s="202"/>
      <c r="R10" s="202"/>
      <c r="S10" s="202"/>
      <c r="T10" s="202"/>
      <c r="U10" s="203"/>
      <c r="V10" s="213" t="s">
        <v>103</v>
      </c>
      <c r="W10" s="214"/>
      <c r="X10" s="214"/>
      <c r="Y10" s="214"/>
      <c r="Z10" s="214"/>
      <c r="AA10" s="215"/>
      <c r="AB10" s="288" t="s">
        <v>119</v>
      </c>
      <c r="AC10" s="3"/>
      <c r="AD10" s="3"/>
    </row>
    <row r="11" spans="1:30" ht="30.75" customHeight="1" thickBot="1" x14ac:dyDescent="0.3">
      <c r="A11" s="3"/>
      <c r="B11" s="252"/>
      <c r="C11" s="240"/>
      <c r="D11" s="216" t="s">
        <v>39</v>
      </c>
      <c r="E11" s="217"/>
      <c r="F11" s="217"/>
      <c r="G11" s="218"/>
      <c r="H11" s="143" t="s">
        <v>40</v>
      </c>
      <c r="I11" s="143" t="s">
        <v>61</v>
      </c>
      <c r="J11" s="204" t="s">
        <v>39</v>
      </c>
      <c r="K11" s="205"/>
      <c r="L11" s="205"/>
      <c r="M11" s="206"/>
      <c r="N11" s="6" t="s">
        <v>40</v>
      </c>
      <c r="O11" s="6" t="s">
        <v>61</v>
      </c>
      <c r="P11" s="204" t="s">
        <v>39</v>
      </c>
      <c r="Q11" s="205"/>
      <c r="R11" s="205"/>
      <c r="S11" s="206"/>
      <c r="T11" s="6" t="s">
        <v>40</v>
      </c>
      <c r="U11" s="6" t="s">
        <v>61</v>
      </c>
      <c r="V11" s="216" t="s">
        <v>39</v>
      </c>
      <c r="W11" s="217"/>
      <c r="X11" s="217"/>
      <c r="Y11" s="218"/>
      <c r="Z11" s="143" t="s">
        <v>40</v>
      </c>
      <c r="AA11" s="143" t="s">
        <v>61</v>
      </c>
      <c r="AB11" s="289"/>
      <c r="AC11" s="3"/>
      <c r="AD11" s="3"/>
    </row>
    <row r="12" spans="1:30" ht="15.75" customHeight="1" thickBot="1" x14ac:dyDescent="0.3">
      <c r="A12" s="3"/>
      <c r="B12" s="252"/>
      <c r="C12" s="241"/>
      <c r="D12" s="210" t="s">
        <v>62</v>
      </c>
      <c r="E12" s="211"/>
      <c r="F12" s="211"/>
      <c r="G12" s="211"/>
      <c r="H12" s="211"/>
      <c r="I12" s="212"/>
      <c r="J12" s="207" t="s">
        <v>62</v>
      </c>
      <c r="K12" s="208"/>
      <c r="L12" s="208"/>
      <c r="M12" s="208"/>
      <c r="N12" s="208"/>
      <c r="O12" s="209"/>
      <c r="P12" s="207" t="s">
        <v>62</v>
      </c>
      <c r="Q12" s="208"/>
      <c r="R12" s="208"/>
      <c r="S12" s="208"/>
      <c r="T12" s="208"/>
      <c r="U12" s="209"/>
      <c r="V12" s="210" t="s">
        <v>62</v>
      </c>
      <c r="W12" s="211"/>
      <c r="X12" s="211"/>
      <c r="Y12" s="211"/>
      <c r="Z12" s="211"/>
      <c r="AA12" s="212"/>
      <c r="AB12" s="289"/>
      <c r="AC12" s="3"/>
      <c r="AD12" s="3"/>
    </row>
    <row r="13" spans="1:30" ht="15.75" customHeight="1" thickBot="1" x14ac:dyDescent="0.3">
      <c r="A13" s="3"/>
      <c r="B13" s="253"/>
      <c r="C13" s="242"/>
      <c r="D13" s="243" t="s">
        <v>57</v>
      </c>
      <c r="E13" s="244"/>
      <c r="F13" s="244"/>
      <c r="G13" s="235" t="s">
        <v>63</v>
      </c>
      <c r="H13" s="237" t="s">
        <v>66</v>
      </c>
      <c r="I13" s="283" t="s">
        <v>62</v>
      </c>
      <c r="J13" s="254" t="s">
        <v>57</v>
      </c>
      <c r="K13" s="255"/>
      <c r="L13" s="255"/>
      <c r="M13" s="269" t="s">
        <v>63</v>
      </c>
      <c r="N13" s="271" t="s">
        <v>66</v>
      </c>
      <c r="O13" s="221" t="s">
        <v>62</v>
      </c>
      <c r="P13" s="254" t="s">
        <v>57</v>
      </c>
      <c r="Q13" s="255"/>
      <c r="R13" s="255"/>
      <c r="S13" s="269" t="s">
        <v>63</v>
      </c>
      <c r="T13" s="271" t="s">
        <v>66</v>
      </c>
      <c r="U13" s="221" t="s">
        <v>62</v>
      </c>
      <c r="V13" s="243" t="s">
        <v>57</v>
      </c>
      <c r="W13" s="244"/>
      <c r="X13" s="244"/>
      <c r="Y13" s="235" t="s">
        <v>63</v>
      </c>
      <c r="Z13" s="237" t="s">
        <v>66</v>
      </c>
      <c r="AA13" s="283" t="s">
        <v>62</v>
      </c>
      <c r="AB13" s="289"/>
      <c r="AC13" s="3"/>
      <c r="AD13" s="3"/>
    </row>
    <row r="14" spans="1:30" ht="15.75" thickBot="1" x14ac:dyDescent="0.3">
      <c r="A14" s="3"/>
      <c r="B14" s="7"/>
      <c r="C14" s="8"/>
      <c r="D14" s="144" t="s">
        <v>58</v>
      </c>
      <c r="E14" s="145" t="s">
        <v>90</v>
      </c>
      <c r="F14" s="145" t="s">
        <v>59</v>
      </c>
      <c r="G14" s="236"/>
      <c r="H14" s="238"/>
      <c r="I14" s="284"/>
      <c r="J14" s="80" t="s">
        <v>58</v>
      </c>
      <c r="K14" s="81" t="s">
        <v>90</v>
      </c>
      <c r="L14" s="81" t="s">
        <v>59</v>
      </c>
      <c r="M14" s="270"/>
      <c r="N14" s="272"/>
      <c r="O14" s="222"/>
      <c r="P14" s="80" t="s">
        <v>58</v>
      </c>
      <c r="Q14" s="81" t="s">
        <v>90</v>
      </c>
      <c r="R14" s="81" t="s">
        <v>59</v>
      </c>
      <c r="S14" s="270"/>
      <c r="T14" s="272"/>
      <c r="U14" s="222"/>
      <c r="V14" s="144" t="s">
        <v>58</v>
      </c>
      <c r="W14" s="145" t="s">
        <v>90</v>
      </c>
      <c r="X14" s="145" t="s">
        <v>59</v>
      </c>
      <c r="Y14" s="236"/>
      <c r="Z14" s="238"/>
      <c r="AA14" s="284"/>
      <c r="AB14" s="290"/>
      <c r="AC14" s="3"/>
      <c r="AD14" s="3"/>
    </row>
    <row r="15" spans="1:30" x14ac:dyDescent="0.25">
      <c r="A15" s="3"/>
      <c r="B15" s="24" t="s">
        <v>0</v>
      </c>
      <c r="C15" s="25" t="s">
        <v>52</v>
      </c>
      <c r="D15" s="105"/>
      <c r="E15" s="106"/>
      <c r="F15" s="107">
        <v>39885541.200000003</v>
      </c>
      <c r="G15" s="108">
        <f>SUM(D15:F15)</f>
        <v>39885541.200000003</v>
      </c>
      <c r="H15" s="109">
        <v>9241281.870000001</v>
      </c>
      <c r="I15" s="110">
        <f>G15+H15</f>
        <v>49126823.070000008</v>
      </c>
      <c r="J15" s="105"/>
      <c r="K15" s="106">
        <v>0</v>
      </c>
      <c r="L15" s="107">
        <v>32500000</v>
      </c>
      <c r="M15" s="108">
        <f t="shared" ref="M15:M23" si="0">SUM(J15:L15)</f>
        <v>32500000</v>
      </c>
      <c r="N15" s="109">
        <v>7500000</v>
      </c>
      <c r="O15" s="110">
        <f>M15+N15</f>
        <v>40000000</v>
      </c>
      <c r="P15" s="105"/>
      <c r="Q15" s="106"/>
      <c r="R15" s="107">
        <v>14798071.08</v>
      </c>
      <c r="S15" s="108">
        <f>SUM(P15:R15)</f>
        <v>14798071.08</v>
      </c>
      <c r="T15" s="109">
        <v>4608621.1399999997</v>
      </c>
      <c r="U15" s="9">
        <f>S15+T15</f>
        <v>19406692.219999999</v>
      </c>
      <c r="V15" s="105">
        <f>+J15</f>
        <v>0</v>
      </c>
      <c r="W15" s="106">
        <f t="shared" ref="W15:W23" si="1">+K15</f>
        <v>0</v>
      </c>
      <c r="X15" s="107">
        <v>42000000</v>
      </c>
      <c r="Y15" s="108">
        <f>SUM(V15:X15)</f>
        <v>42000000</v>
      </c>
      <c r="Z15" s="109">
        <v>9000000</v>
      </c>
      <c r="AA15" s="110">
        <f>Y15+Z15</f>
        <v>51000000</v>
      </c>
      <c r="AB15" s="82">
        <f>(AA15/O15)</f>
        <v>1.2749999999999999</v>
      </c>
      <c r="AC15" s="3"/>
      <c r="AD15" s="3"/>
    </row>
    <row r="16" spans="1:30" x14ac:dyDescent="0.25">
      <c r="A16" s="3"/>
      <c r="B16" s="10" t="s">
        <v>1</v>
      </c>
      <c r="C16" s="73" t="s">
        <v>60</v>
      </c>
      <c r="D16" s="111">
        <v>51600000.000000007</v>
      </c>
      <c r="E16" s="112"/>
      <c r="F16" s="112"/>
      <c r="G16" s="113">
        <f t="shared" ref="G16:G23" si="2">SUM(D16:F16)</f>
        <v>51600000.000000007</v>
      </c>
      <c r="H16" s="114"/>
      <c r="I16" s="110">
        <f t="shared" ref="I16:I23" si="3">G16+H16</f>
        <v>51600000.000000007</v>
      </c>
      <c r="J16" s="111">
        <v>54300000</v>
      </c>
      <c r="K16" s="112">
        <v>0</v>
      </c>
      <c r="L16" s="112">
        <v>0</v>
      </c>
      <c r="M16" s="113">
        <f t="shared" si="0"/>
        <v>54300000</v>
      </c>
      <c r="N16" s="114">
        <v>0</v>
      </c>
      <c r="O16" s="110">
        <f t="shared" ref="O16:O20" si="4">M16+N16</f>
        <v>54300000</v>
      </c>
      <c r="P16" s="111">
        <v>27150000</v>
      </c>
      <c r="Q16" s="112"/>
      <c r="R16" s="112"/>
      <c r="S16" s="113">
        <f t="shared" ref="S16:S23" si="5">SUM(P16:R16)</f>
        <v>27150000</v>
      </c>
      <c r="T16" s="114"/>
      <c r="U16" s="9">
        <f t="shared" ref="U16:U20" si="6">S16+T16</f>
        <v>27150000</v>
      </c>
      <c r="V16" s="111">
        <f>54000000-1500000-500000</f>
        <v>52000000</v>
      </c>
      <c r="W16" s="112">
        <f t="shared" si="1"/>
        <v>0</v>
      </c>
      <c r="X16" s="112">
        <f t="shared" ref="X16:X23" si="7">+L16</f>
        <v>0</v>
      </c>
      <c r="Y16" s="113">
        <f t="shared" ref="Y16:Y23" si="8">SUM(V16:X16)</f>
        <v>52000000</v>
      </c>
      <c r="Z16" s="114">
        <f t="shared" ref="Z16:Z23" si="9">+N16</f>
        <v>0</v>
      </c>
      <c r="AA16" s="110">
        <f t="shared" ref="AA16:AA20" si="10">Y16+Z16</f>
        <v>52000000</v>
      </c>
      <c r="AB16" s="82">
        <f t="shared" ref="AB16:AB24" si="11">(AA16/O16)</f>
        <v>0.9576427255985267</v>
      </c>
      <c r="AC16" s="3"/>
      <c r="AD16" s="3"/>
    </row>
    <row r="17" spans="1:31" x14ac:dyDescent="0.25">
      <c r="A17" s="3"/>
      <c r="B17" s="10" t="s">
        <v>3</v>
      </c>
      <c r="C17" s="74" t="s">
        <v>79</v>
      </c>
      <c r="D17" s="115"/>
      <c r="E17" s="116"/>
      <c r="F17" s="116"/>
      <c r="G17" s="113">
        <f t="shared" si="2"/>
        <v>0</v>
      </c>
      <c r="H17" s="117"/>
      <c r="I17" s="110">
        <f t="shared" si="3"/>
        <v>0</v>
      </c>
      <c r="J17" s="115"/>
      <c r="K17" s="116">
        <v>0</v>
      </c>
      <c r="L17" s="116">
        <v>0</v>
      </c>
      <c r="M17" s="113">
        <f t="shared" si="0"/>
        <v>0</v>
      </c>
      <c r="N17" s="117">
        <v>0</v>
      </c>
      <c r="O17" s="110">
        <f t="shared" si="4"/>
        <v>0</v>
      </c>
      <c r="P17" s="115"/>
      <c r="Q17" s="116"/>
      <c r="R17" s="116"/>
      <c r="S17" s="113">
        <f t="shared" si="5"/>
        <v>0</v>
      </c>
      <c r="T17" s="117"/>
      <c r="U17" s="9">
        <f t="shared" si="6"/>
        <v>0</v>
      </c>
      <c r="V17" s="115">
        <f t="shared" ref="V17:V23" si="12">+J17</f>
        <v>0</v>
      </c>
      <c r="W17" s="116">
        <f t="shared" si="1"/>
        <v>0</v>
      </c>
      <c r="X17" s="116">
        <f t="shared" si="7"/>
        <v>0</v>
      </c>
      <c r="Y17" s="113">
        <f t="shared" si="8"/>
        <v>0</v>
      </c>
      <c r="Z17" s="117">
        <f t="shared" si="9"/>
        <v>0</v>
      </c>
      <c r="AA17" s="110">
        <f t="shared" si="10"/>
        <v>0</v>
      </c>
      <c r="AB17" s="82" t="e">
        <f t="shared" si="11"/>
        <v>#DIV/0!</v>
      </c>
      <c r="AC17" s="3"/>
      <c r="AD17" s="3"/>
    </row>
    <row r="18" spans="1:31" x14ac:dyDescent="0.25">
      <c r="A18" s="3"/>
      <c r="B18" s="10" t="s">
        <v>5</v>
      </c>
      <c r="C18" s="75" t="s">
        <v>53</v>
      </c>
      <c r="D18" s="118"/>
      <c r="E18" s="119">
        <v>1857590</v>
      </c>
      <c r="F18" s="116"/>
      <c r="G18" s="113">
        <f t="shared" si="2"/>
        <v>1857590</v>
      </c>
      <c r="H18" s="109"/>
      <c r="I18" s="110">
        <f t="shared" si="3"/>
        <v>1857590</v>
      </c>
      <c r="J18" s="118"/>
      <c r="K18" s="119">
        <v>1100000</v>
      </c>
      <c r="L18" s="116">
        <v>0</v>
      </c>
      <c r="M18" s="113">
        <f t="shared" si="0"/>
        <v>1100000</v>
      </c>
      <c r="N18" s="109">
        <v>0</v>
      </c>
      <c r="O18" s="110">
        <f t="shared" si="4"/>
        <v>1100000</v>
      </c>
      <c r="P18" s="118"/>
      <c r="Q18" s="119">
        <v>472155.66000000003</v>
      </c>
      <c r="R18" s="116"/>
      <c r="S18" s="113">
        <f t="shared" si="5"/>
        <v>472155.66000000003</v>
      </c>
      <c r="T18" s="109"/>
      <c r="U18" s="9">
        <f t="shared" si="6"/>
        <v>472155.66000000003</v>
      </c>
      <c r="V18" s="118">
        <f t="shared" si="12"/>
        <v>0</v>
      </c>
      <c r="W18" s="119">
        <v>1800000</v>
      </c>
      <c r="X18" s="116">
        <f t="shared" si="7"/>
        <v>0</v>
      </c>
      <c r="Y18" s="113">
        <f t="shared" si="8"/>
        <v>1800000</v>
      </c>
      <c r="Z18" s="109">
        <f t="shared" si="9"/>
        <v>0</v>
      </c>
      <c r="AA18" s="110">
        <f t="shared" si="10"/>
        <v>1800000</v>
      </c>
      <c r="AB18" s="82">
        <f t="shared" si="11"/>
        <v>1.6363636363636365</v>
      </c>
      <c r="AC18" s="3"/>
      <c r="AD18" s="3"/>
    </row>
    <row r="19" spans="1:31" x14ac:dyDescent="0.25">
      <c r="A19" s="3"/>
      <c r="B19" s="10" t="s">
        <v>7</v>
      </c>
      <c r="C19" s="28" t="s">
        <v>46</v>
      </c>
      <c r="D19" s="120"/>
      <c r="E19" s="116"/>
      <c r="F19" s="119">
        <v>1418106.91</v>
      </c>
      <c r="G19" s="113">
        <f t="shared" si="2"/>
        <v>1418106.91</v>
      </c>
      <c r="H19" s="109"/>
      <c r="I19" s="110">
        <f t="shared" si="3"/>
        <v>1418106.91</v>
      </c>
      <c r="J19" s="120"/>
      <c r="K19" s="116">
        <v>0</v>
      </c>
      <c r="L19" s="119">
        <v>1300000</v>
      </c>
      <c r="M19" s="113">
        <f t="shared" si="0"/>
        <v>1300000</v>
      </c>
      <c r="N19" s="109">
        <v>0</v>
      </c>
      <c r="O19" s="110">
        <f t="shared" si="4"/>
        <v>1300000</v>
      </c>
      <c r="P19" s="120"/>
      <c r="Q19" s="116"/>
      <c r="R19" s="119">
        <v>637112.98</v>
      </c>
      <c r="S19" s="113">
        <f t="shared" si="5"/>
        <v>637112.98</v>
      </c>
      <c r="T19" s="109"/>
      <c r="U19" s="9">
        <f t="shared" si="6"/>
        <v>637112.98</v>
      </c>
      <c r="V19" s="120">
        <f t="shared" si="12"/>
        <v>0</v>
      </c>
      <c r="W19" s="116">
        <f t="shared" si="1"/>
        <v>0</v>
      </c>
      <c r="X19" s="119">
        <v>1200000</v>
      </c>
      <c r="Y19" s="113">
        <f t="shared" si="8"/>
        <v>1200000</v>
      </c>
      <c r="Z19" s="109">
        <f t="shared" si="9"/>
        <v>0</v>
      </c>
      <c r="AA19" s="110">
        <f t="shared" si="10"/>
        <v>1200000</v>
      </c>
      <c r="AB19" s="82">
        <f t="shared" si="11"/>
        <v>0.92307692307692313</v>
      </c>
      <c r="AC19" s="3"/>
      <c r="AD19" s="3"/>
    </row>
    <row r="20" spans="1:31" x14ac:dyDescent="0.25">
      <c r="A20" s="3"/>
      <c r="B20" s="10" t="s">
        <v>9</v>
      </c>
      <c r="C20" s="76" t="s">
        <v>47</v>
      </c>
      <c r="D20" s="118"/>
      <c r="E20" s="112"/>
      <c r="F20" s="121"/>
      <c r="G20" s="113"/>
      <c r="H20" s="109"/>
      <c r="I20" s="110">
        <f t="shared" si="3"/>
        <v>0</v>
      </c>
      <c r="J20" s="118"/>
      <c r="K20" s="112">
        <v>0</v>
      </c>
      <c r="L20" s="121">
        <v>1500000</v>
      </c>
      <c r="M20" s="113">
        <f t="shared" si="0"/>
        <v>1500000</v>
      </c>
      <c r="N20" s="109">
        <v>0</v>
      </c>
      <c r="O20" s="110">
        <f t="shared" si="4"/>
        <v>1500000</v>
      </c>
      <c r="P20" s="118"/>
      <c r="Q20" s="112"/>
      <c r="R20" s="121"/>
      <c r="S20" s="113">
        <f t="shared" si="5"/>
        <v>0</v>
      </c>
      <c r="T20" s="109"/>
      <c r="U20" s="9">
        <f t="shared" si="6"/>
        <v>0</v>
      </c>
      <c r="V20" s="118">
        <f t="shared" si="12"/>
        <v>0</v>
      </c>
      <c r="W20" s="112">
        <f t="shared" si="1"/>
        <v>0</v>
      </c>
      <c r="X20" s="121">
        <v>2000000</v>
      </c>
      <c r="Y20" s="113">
        <f t="shared" si="8"/>
        <v>2000000</v>
      </c>
      <c r="Z20" s="109">
        <f t="shared" si="9"/>
        <v>0</v>
      </c>
      <c r="AA20" s="110">
        <f t="shared" si="10"/>
        <v>2000000</v>
      </c>
      <c r="AB20" s="82">
        <f t="shared" si="11"/>
        <v>1.3333333333333333</v>
      </c>
      <c r="AC20" s="3"/>
      <c r="AD20" s="3"/>
    </row>
    <row r="21" spans="1:31" x14ac:dyDescent="0.25">
      <c r="A21" s="3"/>
      <c r="B21" s="10" t="s">
        <v>11</v>
      </c>
      <c r="C21" s="27" t="s">
        <v>2</v>
      </c>
      <c r="D21" s="118"/>
      <c r="E21" s="112"/>
      <c r="F21" s="121">
        <v>4784886.79</v>
      </c>
      <c r="G21" s="113">
        <f t="shared" si="2"/>
        <v>4784886.79</v>
      </c>
      <c r="H21" s="122">
        <v>2176939.5499999998</v>
      </c>
      <c r="I21" s="110">
        <f>G21+H21</f>
        <v>6961826.3399999999</v>
      </c>
      <c r="J21" s="118"/>
      <c r="K21" s="112">
        <v>0</v>
      </c>
      <c r="L21" s="121">
        <v>2500000</v>
      </c>
      <c r="M21" s="113">
        <f t="shared" si="0"/>
        <v>2500000</v>
      </c>
      <c r="N21" s="122">
        <v>1000000</v>
      </c>
      <c r="O21" s="110">
        <f>M21+N21</f>
        <v>3500000</v>
      </c>
      <c r="P21" s="118"/>
      <c r="Q21" s="112"/>
      <c r="R21" s="121">
        <v>2681067.42</v>
      </c>
      <c r="S21" s="113">
        <f t="shared" si="5"/>
        <v>2681067.42</v>
      </c>
      <c r="T21" s="122">
        <v>923031.65</v>
      </c>
      <c r="U21" s="9">
        <f>S21+T21</f>
        <v>3604099.07</v>
      </c>
      <c r="V21" s="118">
        <f t="shared" si="12"/>
        <v>0</v>
      </c>
      <c r="W21" s="112">
        <f t="shared" si="1"/>
        <v>0</v>
      </c>
      <c r="X21" s="121">
        <v>3500000</v>
      </c>
      <c r="Y21" s="113">
        <f t="shared" si="8"/>
        <v>3500000</v>
      </c>
      <c r="Z21" s="122">
        <v>1500000</v>
      </c>
      <c r="AA21" s="110">
        <f>Y21+Z21</f>
        <v>5000000</v>
      </c>
      <c r="AB21" s="82">
        <f t="shared" si="11"/>
        <v>1.4285714285714286</v>
      </c>
      <c r="AC21" s="3"/>
      <c r="AD21" s="3"/>
    </row>
    <row r="22" spans="1:31" x14ac:dyDescent="0.25">
      <c r="A22" s="3"/>
      <c r="B22" s="10" t="s">
        <v>13</v>
      </c>
      <c r="C22" s="27" t="s">
        <v>4</v>
      </c>
      <c r="D22" s="118"/>
      <c r="E22" s="112"/>
      <c r="F22" s="121"/>
      <c r="G22" s="113">
        <f t="shared" si="2"/>
        <v>0</v>
      </c>
      <c r="H22" s="122"/>
      <c r="I22" s="110">
        <f t="shared" si="3"/>
        <v>0</v>
      </c>
      <c r="J22" s="118"/>
      <c r="K22" s="112">
        <v>0</v>
      </c>
      <c r="L22" s="121">
        <v>0</v>
      </c>
      <c r="M22" s="113">
        <f t="shared" si="0"/>
        <v>0</v>
      </c>
      <c r="N22" s="122">
        <v>0</v>
      </c>
      <c r="O22" s="110">
        <f t="shared" ref="O22:O23" si="13">M22+N22</f>
        <v>0</v>
      </c>
      <c r="P22" s="118"/>
      <c r="Q22" s="112"/>
      <c r="R22" s="121"/>
      <c r="S22" s="113">
        <f t="shared" si="5"/>
        <v>0</v>
      </c>
      <c r="T22" s="122"/>
      <c r="U22" s="9">
        <f t="shared" ref="U22:U23" si="14">S22+T22</f>
        <v>0</v>
      </c>
      <c r="V22" s="118">
        <f t="shared" si="12"/>
        <v>0</v>
      </c>
      <c r="W22" s="112">
        <f t="shared" si="1"/>
        <v>0</v>
      </c>
      <c r="X22" s="121">
        <f t="shared" si="7"/>
        <v>0</v>
      </c>
      <c r="Y22" s="113">
        <f t="shared" si="8"/>
        <v>0</v>
      </c>
      <c r="Z22" s="122">
        <f t="shared" si="9"/>
        <v>0</v>
      </c>
      <c r="AA22" s="110">
        <f t="shared" ref="AA22:AA23" si="15">Y22+Z22</f>
        <v>0</v>
      </c>
      <c r="AB22" s="82" t="e">
        <f t="shared" si="11"/>
        <v>#DIV/0!</v>
      </c>
      <c r="AC22" s="3"/>
      <c r="AD22" s="3"/>
    </row>
    <row r="23" spans="1:31" ht="15.75" thickBot="1" x14ac:dyDescent="0.3">
      <c r="A23" s="3"/>
      <c r="B23" s="77" t="s">
        <v>15</v>
      </c>
      <c r="C23" s="78" t="s">
        <v>6</v>
      </c>
      <c r="D23" s="123"/>
      <c r="E23" s="124"/>
      <c r="F23" s="125"/>
      <c r="G23" s="126">
        <f t="shared" si="2"/>
        <v>0</v>
      </c>
      <c r="H23" s="127"/>
      <c r="I23" s="128">
        <f t="shared" si="3"/>
        <v>0</v>
      </c>
      <c r="J23" s="123"/>
      <c r="K23" s="124">
        <v>0</v>
      </c>
      <c r="L23" s="125">
        <v>0</v>
      </c>
      <c r="M23" s="126">
        <f t="shared" si="0"/>
        <v>0</v>
      </c>
      <c r="N23" s="127">
        <v>0</v>
      </c>
      <c r="O23" s="128">
        <f t="shared" si="13"/>
        <v>0</v>
      </c>
      <c r="P23" s="123"/>
      <c r="Q23" s="124"/>
      <c r="R23" s="125"/>
      <c r="S23" s="126">
        <f t="shared" si="5"/>
        <v>0</v>
      </c>
      <c r="T23" s="127"/>
      <c r="U23" s="12">
        <f t="shared" si="14"/>
        <v>0</v>
      </c>
      <c r="V23" s="123">
        <f t="shared" si="12"/>
        <v>0</v>
      </c>
      <c r="W23" s="124">
        <f t="shared" si="1"/>
        <v>0</v>
      </c>
      <c r="X23" s="125">
        <f t="shared" si="7"/>
        <v>0</v>
      </c>
      <c r="Y23" s="126">
        <f t="shared" si="8"/>
        <v>0</v>
      </c>
      <c r="Z23" s="127">
        <f t="shared" si="9"/>
        <v>0</v>
      </c>
      <c r="AA23" s="128">
        <f t="shared" si="15"/>
        <v>0</v>
      </c>
      <c r="AB23" s="85" t="e">
        <f t="shared" si="11"/>
        <v>#DIV/0!</v>
      </c>
      <c r="AC23" s="3"/>
      <c r="AD23" s="3"/>
    </row>
    <row r="24" spans="1:31" ht="15.75" thickBot="1" x14ac:dyDescent="0.3">
      <c r="A24" s="3"/>
      <c r="B24" s="13" t="s">
        <v>17</v>
      </c>
      <c r="C24" s="14" t="s">
        <v>8</v>
      </c>
      <c r="D24" s="146">
        <f>SUM(D15:D21)</f>
        <v>51600000.000000007</v>
      </c>
      <c r="E24" s="147">
        <f>SUM(E15:E21)</f>
        <v>1857590</v>
      </c>
      <c r="F24" s="147">
        <f>SUM(F15:F21)</f>
        <v>46088534.899999999</v>
      </c>
      <c r="G24" s="148">
        <f>SUM(D24:F24)</f>
        <v>99546124.900000006</v>
      </c>
      <c r="H24" s="149">
        <f>SUM(H15:H21)</f>
        <v>11418221.420000002</v>
      </c>
      <c r="I24" s="149">
        <f>SUM(I15:I21)</f>
        <v>110964346.32000002</v>
      </c>
      <c r="J24" s="94">
        <f>SUM(J15:J21)</f>
        <v>54300000</v>
      </c>
      <c r="K24" s="95">
        <f>SUM(K15:K21)</f>
        <v>1100000</v>
      </c>
      <c r="L24" s="95">
        <f>SUM(L15:L21)</f>
        <v>37800000</v>
      </c>
      <c r="M24" s="96">
        <f>SUM(J24:L24)</f>
        <v>93200000</v>
      </c>
      <c r="N24" s="97">
        <f>SUM(N15:N21)</f>
        <v>8500000</v>
      </c>
      <c r="O24" s="97">
        <f>SUM(O15:O21)</f>
        <v>101700000</v>
      </c>
      <c r="P24" s="15">
        <f>SUM(P15:P21)</f>
        <v>27150000</v>
      </c>
      <c r="Q24" s="16">
        <f>SUM(Q15:Q21)</f>
        <v>472155.66000000003</v>
      </c>
      <c r="R24" s="16">
        <f>SUM(R15:R21)</f>
        <v>18116251.48</v>
      </c>
      <c r="S24" s="17">
        <f>SUM(P24:R24)</f>
        <v>45738407.140000001</v>
      </c>
      <c r="T24" s="18">
        <f>SUM(T15:T21)</f>
        <v>5531652.79</v>
      </c>
      <c r="U24" s="18">
        <f>SUM(U15:U21)</f>
        <v>51270059.929999992</v>
      </c>
      <c r="V24" s="146">
        <f>SUM(V15:V21)</f>
        <v>52000000</v>
      </c>
      <c r="W24" s="147">
        <f>SUM(W15:W21)</f>
        <v>1800000</v>
      </c>
      <c r="X24" s="147">
        <f>SUM(X15:X21)</f>
        <v>48700000</v>
      </c>
      <c r="Y24" s="148">
        <f>SUM(V24:X24)</f>
        <v>102500000</v>
      </c>
      <c r="Z24" s="149">
        <f>SUM(Z15:Z21)</f>
        <v>10500000</v>
      </c>
      <c r="AA24" s="149">
        <f>SUM(AA15:AA21)</f>
        <v>113000000</v>
      </c>
      <c r="AB24" s="86">
        <f t="shared" si="11"/>
        <v>1.1111111111111112</v>
      </c>
      <c r="AC24" s="3"/>
      <c r="AD24" s="142"/>
      <c r="AE24" s="198"/>
    </row>
    <row r="25" spans="1:31" ht="15.75" customHeight="1" thickBot="1" x14ac:dyDescent="0.3">
      <c r="A25" s="3"/>
      <c r="B25" s="19"/>
      <c r="C25" s="20"/>
      <c r="D25" s="247" t="s">
        <v>68</v>
      </c>
      <c r="E25" s="248"/>
      <c r="F25" s="248"/>
      <c r="G25" s="249"/>
      <c r="H25" s="249"/>
      <c r="I25" s="250"/>
      <c r="J25" s="223" t="s">
        <v>68</v>
      </c>
      <c r="K25" s="224"/>
      <c r="L25" s="224"/>
      <c r="M25" s="225"/>
      <c r="N25" s="225"/>
      <c r="O25" s="226"/>
      <c r="P25" s="273" t="s">
        <v>68</v>
      </c>
      <c r="Q25" s="274"/>
      <c r="R25" s="274"/>
      <c r="S25" s="275"/>
      <c r="T25" s="275"/>
      <c r="U25" s="276"/>
      <c r="V25" s="247" t="s">
        <v>68</v>
      </c>
      <c r="W25" s="248"/>
      <c r="X25" s="248"/>
      <c r="Y25" s="249"/>
      <c r="Z25" s="249"/>
      <c r="AA25" s="250"/>
      <c r="AB25" s="285" t="s">
        <v>119</v>
      </c>
      <c r="AC25" s="3"/>
      <c r="AD25" s="3"/>
    </row>
    <row r="26" spans="1:31" ht="15.75" thickBot="1" x14ac:dyDescent="0.3">
      <c r="A26" s="3"/>
      <c r="B26" s="219" t="s">
        <v>37</v>
      </c>
      <c r="C26" s="239" t="s">
        <v>38</v>
      </c>
      <c r="D26" s="267" t="s">
        <v>69</v>
      </c>
      <c r="E26" s="268"/>
      <c r="F26" s="268"/>
      <c r="G26" s="235" t="s">
        <v>64</v>
      </c>
      <c r="H26" s="245" t="s">
        <v>67</v>
      </c>
      <c r="I26" s="265" t="s">
        <v>68</v>
      </c>
      <c r="J26" s="227" t="s">
        <v>69</v>
      </c>
      <c r="K26" s="228"/>
      <c r="L26" s="228"/>
      <c r="M26" s="229" t="s">
        <v>64</v>
      </c>
      <c r="N26" s="231" t="s">
        <v>67</v>
      </c>
      <c r="O26" s="233" t="s">
        <v>68</v>
      </c>
      <c r="P26" s="277" t="s">
        <v>69</v>
      </c>
      <c r="Q26" s="278"/>
      <c r="R26" s="278"/>
      <c r="S26" s="269" t="s">
        <v>64</v>
      </c>
      <c r="T26" s="279" t="s">
        <v>67</v>
      </c>
      <c r="U26" s="281" t="s">
        <v>68</v>
      </c>
      <c r="V26" s="267" t="s">
        <v>69</v>
      </c>
      <c r="W26" s="268"/>
      <c r="X26" s="268"/>
      <c r="Y26" s="235" t="s">
        <v>64</v>
      </c>
      <c r="Z26" s="245" t="s">
        <v>67</v>
      </c>
      <c r="AA26" s="265" t="s">
        <v>68</v>
      </c>
      <c r="AB26" s="286"/>
      <c r="AC26" s="3"/>
      <c r="AD26" s="3"/>
    </row>
    <row r="27" spans="1:31" ht="15.75" thickBot="1" x14ac:dyDescent="0.3">
      <c r="A27" s="3"/>
      <c r="B27" s="220"/>
      <c r="C27" s="240"/>
      <c r="D27" s="150" t="s">
        <v>54</v>
      </c>
      <c r="E27" s="151" t="s">
        <v>55</v>
      </c>
      <c r="F27" s="152" t="s">
        <v>56</v>
      </c>
      <c r="G27" s="236"/>
      <c r="H27" s="246"/>
      <c r="I27" s="266"/>
      <c r="J27" s="98" t="s">
        <v>54</v>
      </c>
      <c r="K27" s="99" t="s">
        <v>55</v>
      </c>
      <c r="L27" s="100" t="s">
        <v>56</v>
      </c>
      <c r="M27" s="230"/>
      <c r="N27" s="232"/>
      <c r="O27" s="234"/>
      <c r="P27" s="21" t="s">
        <v>54</v>
      </c>
      <c r="Q27" s="22" t="s">
        <v>55</v>
      </c>
      <c r="R27" s="23" t="s">
        <v>56</v>
      </c>
      <c r="S27" s="270"/>
      <c r="T27" s="280"/>
      <c r="U27" s="282"/>
      <c r="V27" s="150" t="s">
        <v>54</v>
      </c>
      <c r="W27" s="151" t="s">
        <v>55</v>
      </c>
      <c r="X27" s="152" t="s">
        <v>56</v>
      </c>
      <c r="Y27" s="236"/>
      <c r="Z27" s="246"/>
      <c r="AA27" s="266"/>
      <c r="AB27" s="287"/>
      <c r="AC27" s="3"/>
      <c r="AD27" s="3"/>
    </row>
    <row r="28" spans="1:31" x14ac:dyDescent="0.25">
      <c r="A28" s="3"/>
      <c r="B28" s="24" t="s">
        <v>19</v>
      </c>
      <c r="C28" s="25" t="s">
        <v>10</v>
      </c>
      <c r="D28" s="130">
        <v>3435943.7250000006</v>
      </c>
      <c r="E28" s="130"/>
      <c r="F28" s="130">
        <f>6871887.45-D28-E28</f>
        <v>3435943.7249999996</v>
      </c>
      <c r="G28" s="131">
        <f>SUM(D28:F28)</f>
        <v>6871887.4500000002</v>
      </c>
      <c r="H28" s="131">
        <v>260519.03</v>
      </c>
      <c r="I28" s="132">
        <f>G28+H28</f>
        <v>7132406.4800000004</v>
      </c>
      <c r="J28" s="129">
        <v>4200000</v>
      </c>
      <c r="K28" s="130">
        <v>0</v>
      </c>
      <c r="L28" s="130">
        <v>2000000</v>
      </c>
      <c r="M28" s="131">
        <f>SUM(J28:L28)</f>
        <v>6200000</v>
      </c>
      <c r="N28" s="131">
        <v>200000</v>
      </c>
      <c r="O28" s="132">
        <f>M28+N28</f>
        <v>6400000</v>
      </c>
      <c r="P28" s="129">
        <v>2262171.2940000002</v>
      </c>
      <c r="Q28" s="130"/>
      <c r="R28" s="130">
        <v>1508114.196</v>
      </c>
      <c r="S28" s="131">
        <f>SUM(P28:R28)</f>
        <v>3770285.49</v>
      </c>
      <c r="T28" s="131">
        <v>9790</v>
      </c>
      <c r="U28" s="26">
        <f>S28+T28</f>
        <v>3780075.49</v>
      </c>
      <c r="V28" s="129">
        <f>4000000-500000</f>
        <v>3500000</v>
      </c>
      <c r="W28" s="130">
        <f t="shared" ref="W28:W37" si="16">+K28</f>
        <v>0</v>
      </c>
      <c r="X28" s="130">
        <f>3800000+500000</f>
        <v>4300000</v>
      </c>
      <c r="Y28" s="131">
        <f>SUM(V28:X28)</f>
        <v>7800000</v>
      </c>
      <c r="Z28" s="131">
        <f t="shared" ref="Z28:Z37" si="17">+N28</f>
        <v>200000</v>
      </c>
      <c r="AA28" s="132">
        <f>Y28+Z28</f>
        <v>8000000</v>
      </c>
      <c r="AB28" s="82">
        <f t="shared" ref="AB28:AB41" si="18">(AA28/O28)</f>
        <v>1.25</v>
      </c>
      <c r="AC28" s="3"/>
      <c r="AD28" s="3"/>
    </row>
    <row r="29" spans="1:31" x14ac:dyDescent="0.25">
      <c r="A29" s="3"/>
      <c r="B29" s="10" t="s">
        <v>20</v>
      </c>
      <c r="C29" s="27" t="s">
        <v>12</v>
      </c>
      <c r="D29" s="134">
        <v>6252542.3899999997</v>
      </c>
      <c r="E29" s="134">
        <f>554580+54295+7275+5766+50000</f>
        <v>671916</v>
      </c>
      <c r="F29" s="134">
        <f>12505084.78-D29-E29</f>
        <v>5580626.3899999997</v>
      </c>
      <c r="G29" s="135">
        <f t="shared" ref="G29:G38" si="19">SUM(D29:F29)</f>
        <v>12505084.779999999</v>
      </c>
      <c r="H29" s="135">
        <v>625024.89999999991</v>
      </c>
      <c r="I29" s="110">
        <f t="shared" ref="I29:I38" si="20">G29+H29</f>
        <v>13130109.68</v>
      </c>
      <c r="J29" s="133">
        <v>6000000</v>
      </c>
      <c r="K29" s="134">
        <v>600000</v>
      </c>
      <c r="L29" s="134">
        <v>3000000</v>
      </c>
      <c r="M29" s="135">
        <f t="shared" ref="M29:M38" si="21">SUM(J29:L29)</f>
        <v>9600000</v>
      </c>
      <c r="N29" s="135">
        <v>1000000</v>
      </c>
      <c r="O29" s="110">
        <f t="shared" ref="O29:O38" si="22">M29+N29</f>
        <v>10600000</v>
      </c>
      <c r="P29" s="133">
        <f>3712233.834-Q29</f>
        <v>3501891.7739999997</v>
      </c>
      <c r="Q29" s="134">
        <f>178054+32288.06</f>
        <v>210342.06</v>
      </c>
      <c r="R29" s="134">
        <v>2474822.5559999999</v>
      </c>
      <c r="S29" s="135">
        <f t="shared" ref="S29:S38" si="23">SUM(P29:R29)</f>
        <v>6187056.3899999997</v>
      </c>
      <c r="T29" s="135">
        <v>71370.91</v>
      </c>
      <c r="U29" s="9">
        <f t="shared" ref="U29:U38" si="24">S29+T29</f>
        <v>6258427.2999999998</v>
      </c>
      <c r="V29" s="133">
        <f>6500000-726200+60840-1000000+900000-145000</f>
        <v>5589640</v>
      </c>
      <c r="W29" s="134">
        <v>600000</v>
      </c>
      <c r="X29" s="134">
        <f>3500000+726200-60840+1000000-900000+145000</f>
        <v>4410360</v>
      </c>
      <c r="Y29" s="135">
        <f t="shared" ref="Y29:Y38" si="25">SUM(V29:X29)</f>
        <v>10600000</v>
      </c>
      <c r="Z29" s="135">
        <v>700000</v>
      </c>
      <c r="AA29" s="110">
        <f t="shared" ref="AA29:AA38" si="26">Y29+Z29</f>
        <v>11300000</v>
      </c>
      <c r="AB29" s="82">
        <f t="shared" si="18"/>
        <v>1.0660377358490567</v>
      </c>
      <c r="AC29" s="3"/>
      <c r="AD29" s="3"/>
      <c r="AE29" s="176"/>
    </row>
    <row r="30" spans="1:31" x14ac:dyDescent="0.25">
      <c r="A30" s="3"/>
      <c r="B30" s="10" t="s">
        <v>22</v>
      </c>
      <c r="C30" s="27" t="s">
        <v>14</v>
      </c>
      <c r="D30" s="134">
        <v>2425820.85</v>
      </c>
      <c r="E30" s="134">
        <f>72600+25153+33600</f>
        <v>131353</v>
      </c>
      <c r="F30" s="134">
        <f>4851641.7-D30-E30</f>
        <v>2294467.85</v>
      </c>
      <c r="G30" s="135">
        <f t="shared" si="19"/>
        <v>4851641.7</v>
      </c>
      <c r="H30" s="135">
        <v>225356.73</v>
      </c>
      <c r="I30" s="110">
        <f t="shared" si="20"/>
        <v>5076998.4300000006</v>
      </c>
      <c r="J30" s="133">
        <v>5000000</v>
      </c>
      <c r="K30" s="134">
        <v>0</v>
      </c>
      <c r="L30" s="134">
        <v>2000000</v>
      </c>
      <c r="M30" s="135">
        <f t="shared" si="21"/>
        <v>7000000</v>
      </c>
      <c r="N30" s="135">
        <v>200000</v>
      </c>
      <c r="O30" s="110">
        <f t="shared" si="22"/>
        <v>7200000</v>
      </c>
      <c r="P30" s="133">
        <v>2020173.5460000001</v>
      </c>
      <c r="Q30" s="134"/>
      <c r="R30" s="134">
        <v>1346782.3640000001</v>
      </c>
      <c r="S30" s="135">
        <f t="shared" si="23"/>
        <v>3366955.91</v>
      </c>
      <c r="T30" s="135">
        <v>8364.86</v>
      </c>
      <c r="U30" s="9">
        <f t="shared" si="24"/>
        <v>3375320.77</v>
      </c>
      <c r="V30" s="133">
        <v>2700000</v>
      </c>
      <c r="W30" s="134">
        <v>50000</v>
      </c>
      <c r="X30" s="134">
        <v>3350000</v>
      </c>
      <c r="Y30" s="135">
        <f t="shared" si="25"/>
        <v>6100000</v>
      </c>
      <c r="Z30" s="135">
        <f t="shared" si="17"/>
        <v>200000</v>
      </c>
      <c r="AA30" s="110">
        <f t="shared" si="26"/>
        <v>6300000</v>
      </c>
      <c r="AB30" s="82">
        <f t="shared" si="18"/>
        <v>0.875</v>
      </c>
      <c r="AC30" s="3"/>
      <c r="AD30" s="3"/>
    </row>
    <row r="31" spans="1:31" x14ac:dyDescent="0.25">
      <c r="A31" s="3"/>
      <c r="B31" s="10" t="s">
        <v>24</v>
      </c>
      <c r="C31" s="27" t="s">
        <v>16</v>
      </c>
      <c r="D31" s="134">
        <v>7422910.6500000004</v>
      </c>
      <c r="E31" s="134">
        <f>118863+31210+2059+6400</f>
        <v>158532</v>
      </c>
      <c r="F31" s="134">
        <f>14845821.3-D31-E31</f>
        <v>7264378.6500000004</v>
      </c>
      <c r="G31" s="135">
        <f t="shared" si="19"/>
        <v>14845821.300000001</v>
      </c>
      <c r="H31" s="135">
        <v>250878.13</v>
      </c>
      <c r="I31" s="110">
        <f t="shared" si="20"/>
        <v>15096699.430000002</v>
      </c>
      <c r="J31" s="133">
        <v>6000000</v>
      </c>
      <c r="K31" s="134">
        <v>300000</v>
      </c>
      <c r="L31" s="134">
        <v>3500000</v>
      </c>
      <c r="M31" s="135">
        <f t="shared" si="21"/>
        <v>9800000</v>
      </c>
      <c r="N31" s="135">
        <v>400000</v>
      </c>
      <c r="O31" s="110">
        <f t="shared" si="22"/>
        <v>10200000</v>
      </c>
      <c r="P31" s="133">
        <v>4121362.44</v>
      </c>
      <c r="Q31" s="134"/>
      <c r="R31" s="134">
        <v>2747574.9600000004</v>
      </c>
      <c r="S31" s="135">
        <f t="shared" si="23"/>
        <v>6868937.4000000004</v>
      </c>
      <c r="T31" s="135">
        <v>22320.17</v>
      </c>
      <c r="U31" s="9">
        <f t="shared" si="24"/>
        <v>6891257.5700000003</v>
      </c>
      <c r="V31" s="133">
        <v>5000000</v>
      </c>
      <c r="W31" s="134">
        <v>200000</v>
      </c>
      <c r="X31" s="134">
        <f>6100000+150000+700000+1000000</f>
        <v>7950000</v>
      </c>
      <c r="Y31" s="135">
        <f t="shared" si="25"/>
        <v>13150000</v>
      </c>
      <c r="Z31" s="135">
        <v>250000</v>
      </c>
      <c r="AA31" s="110">
        <f t="shared" si="26"/>
        <v>13400000</v>
      </c>
      <c r="AB31" s="82">
        <f t="shared" si="18"/>
        <v>1.3137254901960784</v>
      </c>
      <c r="AC31" s="3"/>
      <c r="AD31" s="3"/>
    </row>
    <row r="32" spans="1:31" x14ac:dyDescent="0.25">
      <c r="A32" s="3"/>
      <c r="B32" s="10" t="s">
        <v>26</v>
      </c>
      <c r="C32" s="27" t="s">
        <v>18</v>
      </c>
      <c r="D32" s="110">
        <f>+D33+D34</f>
        <v>15025763.164499998</v>
      </c>
      <c r="E32" s="110">
        <f>+E33+E34</f>
        <v>605397</v>
      </c>
      <c r="F32" s="110">
        <f>+F33+F34</f>
        <v>17759424.645500001</v>
      </c>
      <c r="G32" s="135">
        <f t="shared" si="19"/>
        <v>33390584.809999999</v>
      </c>
      <c r="H32" s="110">
        <f>+H33+H34</f>
        <v>3034842.1900000004</v>
      </c>
      <c r="I32" s="110">
        <f t="shared" si="20"/>
        <v>36425427</v>
      </c>
      <c r="J32" s="133">
        <v>18700000</v>
      </c>
      <c r="K32" s="133">
        <v>200000</v>
      </c>
      <c r="L32" s="133">
        <v>18226000</v>
      </c>
      <c r="M32" s="135">
        <f t="shared" si="21"/>
        <v>37126000</v>
      </c>
      <c r="N32" s="135">
        <v>1560000</v>
      </c>
      <c r="O32" s="110">
        <f t="shared" si="22"/>
        <v>38686000</v>
      </c>
      <c r="P32" s="135">
        <f>+P33+P34</f>
        <v>9525355.7999999989</v>
      </c>
      <c r="Q32" s="135">
        <f>+Q33+Q34</f>
        <v>261813.6</v>
      </c>
      <c r="R32" s="135">
        <f>+R33+R34</f>
        <v>6524779.6000000006</v>
      </c>
      <c r="S32" s="135">
        <f t="shared" si="23"/>
        <v>16311949</v>
      </c>
      <c r="T32" s="135">
        <v>302927</v>
      </c>
      <c r="U32" s="40">
        <f>+U33+U34</f>
        <v>16614876</v>
      </c>
      <c r="V32" s="134">
        <f>+V33+V34</f>
        <v>19400000</v>
      </c>
      <c r="W32" s="134">
        <f t="shared" ref="W32:AA32" si="27">+W33+W34</f>
        <v>500000</v>
      </c>
      <c r="X32" s="134">
        <f t="shared" si="27"/>
        <v>19870000</v>
      </c>
      <c r="Y32" s="134">
        <f t="shared" si="27"/>
        <v>39770000</v>
      </c>
      <c r="Z32" s="134">
        <f t="shared" si="27"/>
        <v>3030000</v>
      </c>
      <c r="AA32" s="134">
        <f t="shared" si="27"/>
        <v>42800000</v>
      </c>
      <c r="AB32" s="82">
        <f t="shared" si="18"/>
        <v>1.1063433800341209</v>
      </c>
      <c r="AC32" s="3"/>
      <c r="AD32" s="3"/>
    </row>
    <row r="33" spans="1:30" x14ac:dyDescent="0.25">
      <c r="A33" s="3"/>
      <c r="B33" s="10" t="s">
        <v>28</v>
      </c>
      <c r="C33" s="28" t="s">
        <v>42</v>
      </c>
      <c r="D33" s="134">
        <f>29788332.56*0.45</f>
        <v>13404749.651999999</v>
      </c>
      <c r="E33" s="134">
        <f>275685+257712+72000</f>
        <v>605397</v>
      </c>
      <c r="F33" s="134">
        <f>+[1]střediska!$F$149+[1]střediska!$F$151+[1]střediska!$F$158-D33-E33</f>
        <v>15778185.908</v>
      </c>
      <c r="G33" s="135">
        <f t="shared" si="19"/>
        <v>29788332.559999999</v>
      </c>
      <c r="H33" s="135">
        <v>2606088.4400000004</v>
      </c>
      <c r="I33" s="110">
        <f t="shared" si="20"/>
        <v>32394421</v>
      </c>
      <c r="J33" s="133">
        <v>16400000</v>
      </c>
      <c r="K33" s="134">
        <v>200000</v>
      </c>
      <c r="L33" s="134">
        <v>15926000</v>
      </c>
      <c r="M33" s="135">
        <f t="shared" si="21"/>
        <v>32526000</v>
      </c>
      <c r="N33" s="135">
        <v>1400000</v>
      </c>
      <c r="O33" s="110">
        <f t="shared" si="22"/>
        <v>33926000</v>
      </c>
      <c r="P33" s="133">
        <f>8771902.2-Q33</f>
        <v>8510088.5999999996</v>
      </c>
      <c r="Q33" s="134">
        <f>166620+95193.6</f>
        <v>261813.6</v>
      </c>
      <c r="R33" s="134">
        <v>5847934.8000000007</v>
      </c>
      <c r="S33" s="135">
        <f t="shared" si="23"/>
        <v>14619837</v>
      </c>
      <c r="T33" s="135">
        <v>289802</v>
      </c>
      <c r="U33" s="9">
        <f t="shared" si="24"/>
        <v>14909639</v>
      </c>
      <c r="V33" s="133">
        <f>19000000-1120000-280000</f>
        <v>17600000</v>
      </c>
      <c r="W33" s="134">
        <v>500000</v>
      </c>
      <c r="X33" s="134">
        <f>16650000+500000+20000</f>
        <v>17170000</v>
      </c>
      <c r="Y33" s="135">
        <f t="shared" si="25"/>
        <v>35270000</v>
      </c>
      <c r="Z33" s="135">
        <f>2990000-120000</f>
        <v>2870000</v>
      </c>
      <c r="AA33" s="110">
        <f t="shared" si="26"/>
        <v>38140000</v>
      </c>
      <c r="AB33" s="82">
        <f t="shared" si="18"/>
        <v>1.1242115191888227</v>
      </c>
      <c r="AC33" s="3"/>
      <c r="AD33" s="3"/>
    </row>
    <row r="34" spans="1:30" x14ac:dyDescent="0.25">
      <c r="A34" s="3"/>
      <c r="B34" s="10" t="s">
        <v>30</v>
      </c>
      <c r="C34" s="29" t="s">
        <v>21</v>
      </c>
      <c r="D34" s="134">
        <v>1621013.5125</v>
      </c>
      <c r="E34" s="134"/>
      <c r="F34" s="134">
        <v>1981238.7375</v>
      </c>
      <c r="G34" s="135">
        <f t="shared" si="19"/>
        <v>3602252.25</v>
      </c>
      <c r="H34" s="135">
        <v>428753.75</v>
      </c>
      <c r="I34" s="110">
        <f t="shared" si="20"/>
        <v>4031006</v>
      </c>
      <c r="J34" s="133">
        <v>2300000</v>
      </c>
      <c r="K34" s="134">
        <v>0</v>
      </c>
      <c r="L34" s="134">
        <v>2300000</v>
      </c>
      <c r="M34" s="135">
        <f t="shared" si="21"/>
        <v>4600000</v>
      </c>
      <c r="N34" s="135">
        <v>160000</v>
      </c>
      <c r="O34" s="110">
        <f t="shared" si="22"/>
        <v>4760000</v>
      </c>
      <c r="P34" s="133">
        <v>1015267.2</v>
      </c>
      <c r="Q34" s="134"/>
      <c r="R34" s="134">
        <v>676844.8</v>
      </c>
      <c r="S34" s="135">
        <f t="shared" si="23"/>
        <v>1692112</v>
      </c>
      <c r="T34" s="135">
        <v>13125</v>
      </c>
      <c r="U34" s="9">
        <f t="shared" si="24"/>
        <v>1705237</v>
      </c>
      <c r="V34" s="133">
        <v>1800000</v>
      </c>
      <c r="W34" s="134">
        <f t="shared" si="16"/>
        <v>0</v>
      </c>
      <c r="X34" s="134">
        <v>2700000</v>
      </c>
      <c r="Y34" s="135">
        <f t="shared" si="25"/>
        <v>4500000</v>
      </c>
      <c r="Z34" s="135">
        <v>160000</v>
      </c>
      <c r="AA34" s="110">
        <f t="shared" si="26"/>
        <v>4660000</v>
      </c>
      <c r="AB34" s="82">
        <f t="shared" si="18"/>
        <v>0.97899159663865543</v>
      </c>
      <c r="AC34" s="3"/>
      <c r="AD34" s="3"/>
    </row>
    <row r="35" spans="1:30" x14ac:dyDescent="0.25">
      <c r="A35" s="3"/>
      <c r="B35" s="10" t="s">
        <v>32</v>
      </c>
      <c r="C35" s="27" t="s">
        <v>23</v>
      </c>
      <c r="D35" s="134">
        <v>4761503.113499999</v>
      </c>
      <c r="E35" s="134">
        <v>180288</v>
      </c>
      <c r="F35" s="134">
        <v>5639326.9164999984</v>
      </c>
      <c r="G35" s="135">
        <f>SUM(D35:F35)</f>
        <v>10581118.029999997</v>
      </c>
      <c r="H35" s="135">
        <v>967802.96000000008</v>
      </c>
      <c r="I35" s="110">
        <f t="shared" si="20"/>
        <v>11548920.989999998</v>
      </c>
      <c r="J35" s="133">
        <v>6000000</v>
      </c>
      <c r="K35" s="134">
        <v>0</v>
      </c>
      <c r="L35" s="134">
        <v>5560000</v>
      </c>
      <c r="M35" s="135">
        <f t="shared" si="21"/>
        <v>11560000</v>
      </c>
      <c r="N35" s="135">
        <v>480000</v>
      </c>
      <c r="O35" s="110">
        <f t="shared" si="22"/>
        <v>12040000</v>
      </c>
      <c r="P35" s="133">
        <v>3116880.2220000001</v>
      </c>
      <c r="Q35" s="134"/>
      <c r="R35" s="134">
        <v>2077920.148</v>
      </c>
      <c r="S35" s="135">
        <f t="shared" si="23"/>
        <v>5194800.37</v>
      </c>
      <c r="T35" s="135">
        <v>94916.63</v>
      </c>
      <c r="U35" s="9">
        <f t="shared" si="24"/>
        <v>5289717</v>
      </c>
      <c r="V35" s="133">
        <f>6285360-75000</f>
        <v>6210360</v>
      </c>
      <c r="W35" s="134">
        <f t="shared" si="16"/>
        <v>0</v>
      </c>
      <c r="X35" s="133">
        <f>6164020-10000</f>
        <v>6154020</v>
      </c>
      <c r="Y35" s="135">
        <f t="shared" si="25"/>
        <v>12364380</v>
      </c>
      <c r="Z35" s="133">
        <f>1010620-35000</f>
        <v>975620</v>
      </c>
      <c r="AA35" s="110">
        <f t="shared" si="26"/>
        <v>13340000</v>
      </c>
      <c r="AB35" s="82">
        <f t="shared" si="18"/>
        <v>1.1079734219269104</v>
      </c>
      <c r="AC35" s="3"/>
      <c r="AD35" s="3"/>
    </row>
    <row r="36" spans="1:30" x14ac:dyDescent="0.25">
      <c r="A36" s="3"/>
      <c r="B36" s="10" t="s">
        <v>33</v>
      </c>
      <c r="C36" s="27" t="s">
        <v>25</v>
      </c>
      <c r="D36" s="134">
        <v>27639</v>
      </c>
      <c r="E36" s="134"/>
      <c r="G36" s="135">
        <f t="shared" si="19"/>
        <v>27639</v>
      </c>
      <c r="H36" s="135">
        <v>0</v>
      </c>
      <c r="I36" s="110">
        <f t="shared" si="20"/>
        <v>27639</v>
      </c>
      <c r="J36" s="133">
        <v>0</v>
      </c>
      <c r="K36" s="134">
        <v>0</v>
      </c>
      <c r="L36" s="134">
        <v>50000</v>
      </c>
      <c r="M36" s="135">
        <f t="shared" si="21"/>
        <v>50000</v>
      </c>
      <c r="N36" s="135">
        <v>0</v>
      </c>
      <c r="O36" s="110">
        <f t="shared" si="22"/>
        <v>50000</v>
      </c>
      <c r="P36" s="133"/>
      <c r="Q36" s="134"/>
      <c r="R36" s="134">
        <v>230779.58</v>
      </c>
      <c r="S36" s="135">
        <f t="shared" si="23"/>
        <v>230779.58</v>
      </c>
      <c r="T36" s="135">
        <v>0</v>
      </c>
      <c r="U36" s="9">
        <f t="shared" si="24"/>
        <v>230779.58</v>
      </c>
      <c r="V36" s="133">
        <v>50000</v>
      </c>
      <c r="W36" s="134">
        <f t="shared" si="16"/>
        <v>0</v>
      </c>
      <c r="X36" s="134">
        <v>0</v>
      </c>
      <c r="Y36" s="135">
        <f t="shared" si="25"/>
        <v>50000</v>
      </c>
      <c r="Z36" s="135">
        <f t="shared" si="17"/>
        <v>0</v>
      </c>
      <c r="AA36" s="110">
        <f t="shared" si="26"/>
        <v>50000</v>
      </c>
      <c r="AB36" s="82">
        <f t="shared" si="18"/>
        <v>1</v>
      </c>
      <c r="AC36" s="3"/>
      <c r="AD36" s="3"/>
    </row>
    <row r="37" spans="1:30" x14ac:dyDescent="0.25">
      <c r="A37" s="3"/>
      <c r="B37" s="10" t="s">
        <v>34</v>
      </c>
      <c r="C37" s="27" t="s">
        <v>27</v>
      </c>
      <c r="D37" s="134">
        <v>8529164.1999999993</v>
      </c>
      <c r="E37" s="134"/>
      <c r="F37" s="134"/>
      <c r="G37" s="135">
        <f t="shared" si="19"/>
        <v>8529164.1999999993</v>
      </c>
      <c r="H37" s="135">
        <v>1524018.25</v>
      </c>
      <c r="I37" s="110">
        <f t="shared" si="20"/>
        <v>10053182.449999999</v>
      </c>
      <c r="J37" s="133">
        <v>7447000</v>
      </c>
      <c r="K37" s="134">
        <v>0</v>
      </c>
      <c r="L37" s="134">
        <v>1300000</v>
      </c>
      <c r="M37" s="135">
        <f t="shared" si="21"/>
        <v>8747000</v>
      </c>
      <c r="N37" s="135">
        <v>1700000</v>
      </c>
      <c r="O37" s="110">
        <f t="shared" si="22"/>
        <v>10447000</v>
      </c>
      <c r="P37" s="133">
        <v>4293112.66</v>
      </c>
      <c r="Q37" s="134"/>
      <c r="R37" s="134"/>
      <c r="S37" s="135">
        <f t="shared" si="23"/>
        <v>4293112.66</v>
      </c>
      <c r="T37" s="135">
        <v>770229</v>
      </c>
      <c r="U37" s="9">
        <f t="shared" si="24"/>
        <v>5063341.66</v>
      </c>
      <c r="V37" s="133">
        <v>8500000</v>
      </c>
      <c r="W37" s="134">
        <f t="shared" si="16"/>
        <v>0</v>
      </c>
      <c r="X37" s="134">
        <v>0</v>
      </c>
      <c r="Y37" s="135">
        <f t="shared" si="25"/>
        <v>8500000</v>
      </c>
      <c r="Z37" s="135">
        <f t="shared" si="17"/>
        <v>1700000</v>
      </c>
      <c r="AA37" s="110">
        <f t="shared" si="26"/>
        <v>10200000</v>
      </c>
      <c r="AB37" s="82">
        <f t="shared" si="18"/>
        <v>0.97635684885613094</v>
      </c>
      <c r="AC37" s="3"/>
      <c r="AD37" s="3"/>
    </row>
    <row r="38" spans="1:30" ht="15.75" thickBot="1" x14ac:dyDescent="0.3">
      <c r="A38" s="3"/>
      <c r="B38" s="11" t="s">
        <v>35</v>
      </c>
      <c r="C38" s="54" t="s">
        <v>29</v>
      </c>
      <c r="D38" s="137">
        <v>3718712.9</v>
      </c>
      <c r="E38" s="137">
        <v>110104</v>
      </c>
      <c r="F38" s="137">
        <v>4278641.2650000006</v>
      </c>
      <c r="G38" s="135">
        <f t="shared" si="19"/>
        <v>8107458.165000001</v>
      </c>
      <c r="H38" s="138">
        <v>3067863.71</v>
      </c>
      <c r="I38" s="128">
        <f t="shared" si="20"/>
        <v>11175321.875</v>
      </c>
      <c r="J38" s="136">
        <v>953000</v>
      </c>
      <c r="K38" s="137">
        <v>0</v>
      </c>
      <c r="L38" s="137">
        <v>2750000</v>
      </c>
      <c r="M38" s="138">
        <f t="shared" si="21"/>
        <v>3703000</v>
      </c>
      <c r="N38" s="138">
        <v>2374000</v>
      </c>
      <c r="O38" s="128">
        <f t="shared" si="22"/>
        <v>6077000</v>
      </c>
      <c r="P38" s="136"/>
      <c r="Q38" s="137"/>
      <c r="R38" s="137">
        <v>2615979.5199999996</v>
      </c>
      <c r="S38" s="138">
        <f t="shared" si="23"/>
        <v>2615979.5199999996</v>
      </c>
      <c r="T38" s="138">
        <v>1267075</v>
      </c>
      <c r="U38" s="12">
        <f t="shared" si="24"/>
        <v>3883054.5199999996</v>
      </c>
      <c r="V38" s="136">
        <v>1050000</v>
      </c>
      <c r="W38" s="137">
        <v>450000</v>
      </c>
      <c r="X38" s="137">
        <f>3700000-622000</f>
        <v>3078000</v>
      </c>
      <c r="Y38" s="138">
        <f t="shared" si="25"/>
        <v>4578000</v>
      </c>
      <c r="Z38" s="138">
        <v>3032000</v>
      </c>
      <c r="AA38" s="128">
        <f t="shared" si="26"/>
        <v>7610000</v>
      </c>
      <c r="AB38" s="85">
        <f t="shared" si="18"/>
        <v>1.2522626295869672</v>
      </c>
      <c r="AC38" s="3"/>
      <c r="AD38" s="3"/>
    </row>
    <row r="39" spans="1:30" ht="15.75" thickBot="1" x14ac:dyDescent="0.3">
      <c r="A39" s="3"/>
      <c r="B39" s="13" t="s">
        <v>48</v>
      </c>
      <c r="C39" s="55" t="s">
        <v>31</v>
      </c>
      <c r="D39" s="139">
        <f>SUM(D35:D38)+SUM(D28:D32)</f>
        <v>51599999.993000001</v>
      </c>
      <c r="E39" s="139">
        <f>SUM(E35:E38)+SUM(E28:E32)</f>
        <v>1857590</v>
      </c>
      <c r="F39" s="139">
        <f>SUM(F35:F38)+SUM(F28:F32)</f>
        <v>46252809.442000002</v>
      </c>
      <c r="G39" s="140">
        <f>SUM(D39:F39)</f>
        <v>99710399.435000002</v>
      </c>
      <c r="H39" s="141">
        <f>SUM(H28:H32)+SUM(H35:H38)</f>
        <v>9956305.9000000004</v>
      </c>
      <c r="I39" s="153">
        <f>SUM(I35:I38)+SUM(I28:I32)</f>
        <v>109666705.33500001</v>
      </c>
      <c r="J39" s="104">
        <f>SUM(J35:J38)+SUM(J28:J32)</f>
        <v>54300000</v>
      </c>
      <c r="K39" s="104">
        <f>SUM(K35:K38)+SUM(K28:K32)</f>
        <v>1100000</v>
      </c>
      <c r="L39" s="104">
        <f>SUM(L35:L38)+SUM(L28:L32)</f>
        <v>38386000</v>
      </c>
      <c r="M39" s="101">
        <f>SUM(J39:L39)</f>
        <v>93786000</v>
      </c>
      <c r="N39" s="102">
        <f>SUM(N28:N32)+SUM(N35:N38)</f>
        <v>7914000</v>
      </c>
      <c r="O39" s="103">
        <f>SUM(O35:O38)+SUM(O28:O32)</f>
        <v>101700000</v>
      </c>
      <c r="P39" s="139">
        <f>SUM(P35:P38)+SUM(P28:P32)</f>
        <v>28840947.735999998</v>
      </c>
      <c r="Q39" s="139">
        <f>SUM(Q35:Q38)+SUM(Q28:Q32)</f>
        <v>472155.66000000003</v>
      </c>
      <c r="R39" s="139">
        <f>SUM(R35:R38)+SUM(R28:R32)</f>
        <v>19526752.924000002</v>
      </c>
      <c r="S39" s="140">
        <f>SUM(P39:R39)</f>
        <v>48839856.32</v>
      </c>
      <c r="T39" s="141">
        <f>SUM(T28:T32)+SUM(T35:T38)</f>
        <v>2546993.5699999998</v>
      </c>
      <c r="U39" s="30">
        <f>SUM(U35:U38)+SUM(U28:U32)</f>
        <v>51386849.889999993</v>
      </c>
      <c r="V39" s="139">
        <f>SUM(V35:V38)+SUM(V28:V32)</f>
        <v>52000000</v>
      </c>
      <c r="W39" s="139">
        <f>SUM(W35:W38)+SUM(W28:W32)</f>
        <v>1800000</v>
      </c>
      <c r="X39" s="139">
        <f>SUM(X35:X38)+SUM(X28:X32)</f>
        <v>49112380</v>
      </c>
      <c r="Y39" s="140">
        <f>SUM(V39:X39)</f>
        <v>102912380</v>
      </c>
      <c r="Z39" s="141">
        <f>SUM(Z28:Z32)+SUM(Z35:Z38)</f>
        <v>10087620</v>
      </c>
      <c r="AA39" s="153">
        <f>SUM(AA35:AA38)+SUM(AA28:AA32)</f>
        <v>113000000</v>
      </c>
      <c r="AB39" s="87">
        <f t="shared" si="18"/>
        <v>1.1111111111111112</v>
      </c>
      <c r="AC39" s="3"/>
      <c r="AD39" s="3"/>
    </row>
    <row r="40" spans="1:30" ht="19.5" thickBot="1" x14ac:dyDescent="0.35">
      <c r="A40" s="3"/>
      <c r="B40" s="59" t="s">
        <v>49</v>
      </c>
      <c r="C40" s="60" t="s">
        <v>51</v>
      </c>
      <c r="D40" s="154">
        <f t="shared" ref="D40:O40" si="28">D24-D39</f>
        <v>7.0000067353248596E-3</v>
      </c>
      <c r="E40" s="154">
        <f t="shared" si="28"/>
        <v>0</v>
      </c>
      <c r="F40" s="154">
        <f t="shared" si="28"/>
        <v>-164274.54200000316</v>
      </c>
      <c r="G40" s="155">
        <f t="shared" si="28"/>
        <v>-164274.53499999642</v>
      </c>
      <c r="H40" s="155">
        <f>H24-H39</f>
        <v>1461915.5200000014</v>
      </c>
      <c r="I40" s="156">
        <f t="shared" si="28"/>
        <v>1297640.9850000143</v>
      </c>
      <c r="J40" s="61">
        <f t="shared" si="28"/>
        <v>0</v>
      </c>
      <c r="K40" s="61">
        <f t="shared" si="28"/>
        <v>0</v>
      </c>
      <c r="L40" s="61">
        <f t="shared" si="28"/>
        <v>-586000</v>
      </c>
      <c r="M40" s="92">
        <f t="shared" si="28"/>
        <v>-586000</v>
      </c>
      <c r="N40" s="92">
        <f t="shared" si="28"/>
        <v>586000</v>
      </c>
      <c r="O40" s="93">
        <f t="shared" si="28"/>
        <v>0</v>
      </c>
      <c r="P40" s="61">
        <f t="shared" ref="P40:U40" si="29">P24-P39</f>
        <v>-1690947.7359999977</v>
      </c>
      <c r="Q40" s="61">
        <f t="shared" si="29"/>
        <v>0</v>
      </c>
      <c r="R40" s="61">
        <f t="shared" si="29"/>
        <v>-1410501.444000002</v>
      </c>
      <c r="S40" s="69">
        <f t="shared" si="29"/>
        <v>-3101449.1799999997</v>
      </c>
      <c r="T40" s="69">
        <f t="shared" si="29"/>
        <v>2984659.22</v>
      </c>
      <c r="U40" s="70">
        <f t="shared" si="29"/>
        <v>-116789.96000000089</v>
      </c>
      <c r="V40" s="154">
        <f t="shared" ref="V40:AA40" si="30">V24-V39</f>
        <v>0</v>
      </c>
      <c r="W40" s="154">
        <f t="shared" si="30"/>
        <v>0</v>
      </c>
      <c r="X40" s="154">
        <f t="shared" si="30"/>
        <v>-412380</v>
      </c>
      <c r="Y40" s="155">
        <f t="shared" si="30"/>
        <v>-412380</v>
      </c>
      <c r="Z40" s="155">
        <f t="shared" si="30"/>
        <v>412380</v>
      </c>
      <c r="AA40" s="156">
        <f t="shared" si="30"/>
        <v>0</v>
      </c>
      <c r="AB40" s="88" t="e">
        <f t="shared" si="18"/>
        <v>#DIV/0!</v>
      </c>
      <c r="AC40" s="3"/>
      <c r="AD40" s="3"/>
    </row>
    <row r="41" spans="1:30" ht="15.75" thickBot="1" x14ac:dyDescent="0.3">
      <c r="A41" s="3"/>
      <c r="B41" s="62" t="s">
        <v>50</v>
      </c>
      <c r="C41" s="63" t="s">
        <v>65</v>
      </c>
      <c r="D41" s="157"/>
      <c r="E41" s="158"/>
      <c r="F41" s="158"/>
      <c r="G41" s="159"/>
      <c r="H41" s="180"/>
      <c r="I41" s="161">
        <f>I40-D16</f>
        <v>-50302359.014999993</v>
      </c>
      <c r="J41" s="64"/>
      <c r="K41" s="65"/>
      <c r="L41" s="65"/>
      <c r="M41" s="66"/>
      <c r="N41" s="68"/>
      <c r="O41" s="67">
        <f>O40-J16</f>
        <v>-54300000</v>
      </c>
      <c r="P41" s="64"/>
      <c r="Q41" s="65"/>
      <c r="R41" s="65"/>
      <c r="S41" s="66"/>
      <c r="T41" s="68"/>
      <c r="U41" s="67">
        <f>U40-P16</f>
        <v>-27266789.960000001</v>
      </c>
      <c r="V41" s="157"/>
      <c r="W41" s="158"/>
      <c r="X41" s="158"/>
      <c r="Y41" s="159"/>
      <c r="Z41" s="160"/>
      <c r="AA41" s="161">
        <f>AA40-V16</f>
        <v>-52000000</v>
      </c>
      <c r="AB41" s="82">
        <f t="shared" si="18"/>
        <v>0.9576427255985267</v>
      </c>
      <c r="AC41" s="3"/>
      <c r="AD41" s="3"/>
    </row>
    <row r="42" spans="1:30" ht="8.25" customHeight="1" thickBot="1" x14ac:dyDescent="0.3">
      <c r="A42" s="3"/>
      <c r="B42" s="43"/>
      <c r="C42" s="34"/>
      <c r="D42" s="181"/>
      <c r="E42" s="182"/>
      <c r="F42" s="182"/>
      <c r="G42" s="142"/>
      <c r="H42" s="182"/>
      <c r="I42" s="182"/>
      <c r="J42" s="44"/>
      <c r="K42" s="35"/>
      <c r="L42" s="35"/>
      <c r="M42" s="3"/>
      <c r="N42" s="35"/>
      <c r="O42" s="35"/>
      <c r="P42" s="35"/>
      <c r="Q42" s="35"/>
      <c r="R42" s="35"/>
      <c r="S42" s="35"/>
      <c r="T42" s="35"/>
      <c r="U42" s="35"/>
      <c r="V42" s="142"/>
      <c r="W42" s="142"/>
      <c r="X42" s="142"/>
      <c r="Y42" s="142"/>
      <c r="Z42" s="142"/>
      <c r="AA42" s="142"/>
      <c r="AB42" s="3"/>
      <c r="AC42" s="3"/>
      <c r="AD42" s="3"/>
    </row>
    <row r="43" spans="1:30" ht="15.75" customHeight="1" thickBot="1" x14ac:dyDescent="0.3">
      <c r="A43" s="3"/>
      <c r="B43" s="43"/>
      <c r="C43" s="260" t="s">
        <v>83</v>
      </c>
      <c r="D43" s="162" t="s">
        <v>41</v>
      </c>
      <c r="E43" s="163" t="s">
        <v>84</v>
      </c>
      <c r="F43" s="164" t="s">
        <v>36</v>
      </c>
      <c r="G43" s="182"/>
      <c r="H43" s="182"/>
      <c r="I43" s="183"/>
      <c r="J43" s="58" t="s">
        <v>41</v>
      </c>
      <c r="K43" s="31" t="s">
        <v>84</v>
      </c>
      <c r="L43" s="32" t="s">
        <v>36</v>
      </c>
      <c r="M43" s="35"/>
      <c r="N43" s="35"/>
      <c r="O43" s="35"/>
      <c r="P43" s="58" t="s">
        <v>41</v>
      </c>
      <c r="Q43" s="31" t="s">
        <v>84</v>
      </c>
      <c r="R43" s="32" t="s">
        <v>36</v>
      </c>
      <c r="S43" s="3"/>
      <c r="T43" s="3"/>
      <c r="U43" s="3"/>
      <c r="V43" s="162" t="s">
        <v>41</v>
      </c>
      <c r="W43" s="163" t="s">
        <v>84</v>
      </c>
      <c r="X43" s="164" t="s">
        <v>36</v>
      </c>
      <c r="Y43" s="142"/>
      <c r="Z43" s="142"/>
      <c r="AA43" s="142"/>
      <c r="AB43" s="3"/>
      <c r="AC43" s="3"/>
      <c r="AD43" s="3"/>
    </row>
    <row r="44" spans="1:30" ht="15.75" thickBot="1" x14ac:dyDescent="0.3">
      <c r="A44" s="3"/>
      <c r="B44" s="43"/>
      <c r="C44" s="261"/>
      <c r="D44" s="165"/>
      <c r="E44" s="166"/>
      <c r="F44" s="167">
        <v>0</v>
      </c>
      <c r="G44" s="182"/>
      <c r="H44" s="182"/>
      <c r="I44" s="183"/>
      <c r="J44" s="46"/>
      <c r="K44" s="56"/>
      <c r="L44" s="57">
        <v>0</v>
      </c>
      <c r="M44" s="45"/>
      <c r="N44" s="45"/>
      <c r="O44" s="45"/>
      <c r="P44" s="46"/>
      <c r="Q44" s="56"/>
      <c r="R44" s="57">
        <v>0</v>
      </c>
      <c r="S44" s="3"/>
      <c r="T44" s="3"/>
      <c r="U44" s="3"/>
      <c r="V44" s="165"/>
      <c r="W44" s="166"/>
      <c r="X44" s="167">
        <v>0</v>
      </c>
      <c r="Y44" s="142"/>
      <c r="Z44" s="142"/>
      <c r="AA44" s="142"/>
      <c r="AB44" s="3"/>
      <c r="AC44" s="3"/>
      <c r="AD44" s="3"/>
    </row>
    <row r="45" spans="1:30" ht="8.25" customHeight="1" thickBot="1" x14ac:dyDescent="0.3">
      <c r="A45" s="3"/>
      <c r="B45" s="43"/>
      <c r="C45" s="34"/>
      <c r="D45" s="184"/>
      <c r="E45" s="182"/>
      <c r="F45" s="182"/>
      <c r="G45" s="182"/>
      <c r="H45" s="182"/>
      <c r="I45" s="183"/>
      <c r="J45" s="35"/>
      <c r="K45" s="35"/>
      <c r="L45" s="35"/>
      <c r="M45" s="35"/>
      <c r="N45" s="35"/>
      <c r="O45" s="36"/>
      <c r="P45" s="36"/>
      <c r="Q45" s="36"/>
      <c r="R45" s="36"/>
      <c r="S45" s="36"/>
      <c r="T45" s="36"/>
      <c r="U45" s="36"/>
      <c r="V45" s="142"/>
      <c r="W45" s="142"/>
      <c r="X45" s="142"/>
      <c r="Y45" s="142"/>
      <c r="Z45" s="142"/>
      <c r="AA45" s="142"/>
      <c r="AB45" s="3"/>
      <c r="AC45" s="3"/>
      <c r="AD45" s="3"/>
    </row>
    <row r="46" spans="1:30" ht="37.5" customHeight="1" thickBot="1" x14ac:dyDescent="0.3">
      <c r="A46" s="3"/>
      <c r="B46" s="43"/>
      <c r="C46" s="260" t="s">
        <v>86</v>
      </c>
      <c r="D46" s="168" t="s">
        <v>87</v>
      </c>
      <c r="E46" s="169" t="s">
        <v>85</v>
      </c>
      <c r="F46" s="182"/>
      <c r="G46" s="182"/>
      <c r="H46" s="182"/>
      <c r="I46" s="183"/>
      <c r="J46" s="47" t="s">
        <v>87</v>
      </c>
      <c r="K46" s="48" t="s">
        <v>85</v>
      </c>
      <c r="L46" s="83"/>
      <c r="M46" s="83"/>
      <c r="N46" s="3"/>
      <c r="O46" s="3"/>
      <c r="P46" s="47" t="s">
        <v>87</v>
      </c>
      <c r="Q46" s="48" t="s">
        <v>85</v>
      </c>
      <c r="R46" s="3"/>
      <c r="S46" s="3"/>
      <c r="T46" s="3"/>
      <c r="U46" s="3"/>
      <c r="V46" s="168" t="s">
        <v>87</v>
      </c>
      <c r="W46" s="169" t="s">
        <v>85</v>
      </c>
      <c r="X46" s="142"/>
      <c r="Y46" s="142"/>
      <c r="Z46" s="142"/>
      <c r="AA46" s="142"/>
      <c r="AB46" s="3"/>
      <c r="AC46" s="3"/>
      <c r="AD46" s="3"/>
    </row>
    <row r="47" spans="1:30" ht="15.75" thickBot="1" x14ac:dyDescent="0.3">
      <c r="A47" s="3"/>
      <c r="B47" s="33"/>
      <c r="C47" s="262"/>
      <c r="D47" s="165">
        <v>5000000</v>
      </c>
      <c r="E47" s="170">
        <v>0</v>
      </c>
      <c r="F47" s="182"/>
      <c r="G47" s="182"/>
      <c r="H47" s="182"/>
      <c r="I47" s="183"/>
      <c r="J47" s="46">
        <v>10000000</v>
      </c>
      <c r="K47" s="49">
        <v>0</v>
      </c>
      <c r="L47" s="84"/>
      <c r="M47" s="84"/>
      <c r="N47" s="3"/>
      <c r="O47" s="3"/>
      <c r="P47" s="46">
        <v>10000000</v>
      </c>
      <c r="Q47" s="49">
        <v>0</v>
      </c>
      <c r="R47" s="3"/>
      <c r="S47" s="3"/>
      <c r="T47" s="3"/>
      <c r="U47" s="3"/>
      <c r="V47" s="165">
        <v>0</v>
      </c>
      <c r="W47" s="170">
        <v>0</v>
      </c>
      <c r="X47" s="142"/>
      <c r="Y47" s="142"/>
      <c r="Z47" s="142"/>
      <c r="AA47" s="142"/>
      <c r="AB47" s="3"/>
      <c r="AC47" s="3"/>
      <c r="AD47" s="3"/>
    </row>
    <row r="48" spans="1:30" x14ac:dyDescent="0.25">
      <c r="A48" s="3"/>
      <c r="B48" s="33"/>
      <c r="C48" s="34"/>
      <c r="D48" s="182"/>
      <c r="E48" s="182"/>
      <c r="F48" s="182"/>
      <c r="G48" s="182"/>
      <c r="H48" s="182"/>
      <c r="I48" s="183"/>
      <c r="J48" s="35"/>
      <c r="K48" s="35"/>
      <c r="L48" s="35"/>
      <c r="M48" s="35"/>
      <c r="N48" s="35"/>
      <c r="O48" s="36"/>
      <c r="P48" s="36"/>
      <c r="Q48" s="36"/>
      <c r="R48" s="36"/>
      <c r="S48" s="36"/>
      <c r="T48" s="36"/>
      <c r="U48" s="36"/>
      <c r="V48" s="142"/>
      <c r="W48" s="142"/>
      <c r="X48" s="142"/>
      <c r="Y48" s="142"/>
      <c r="Z48" s="142"/>
      <c r="AA48" s="142"/>
      <c r="AB48" s="3"/>
      <c r="AC48" s="3"/>
      <c r="AD48" s="3"/>
    </row>
    <row r="49" spans="1:30" x14ac:dyDescent="0.25">
      <c r="A49" s="3"/>
      <c r="B49" s="33"/>
      <c r="C49" s="50" t="s">
        <v>82</v>
      </c>
      <c r="D49" s="171" t="s">
        <v>73</v>
      </c>
      <c r="E49" s="171" t="s">
        <v>74</v>
      </c>
      <c r="F49" s="171" t="s">
        <v>91</v>
      </c>
      <c r="G49" s="171" t="s">
        <v>93</v>
      </c>
      <c r="H49" s="182"/>
      <c r="I49" s="142"/>
      <c r="J49" s="51" t="s">
        <v>73</v>
      </c>
      <c r="K49" s="51" t="s">
        <v>74</v>
      </c>
      <c r="L49" s="51" t="s">
        <v>91</v>
      </c>
      <c r="M49" s="51" t="s">
        <v>94</v>
      </c>
      <c r="N49" s="3"/>
      <c r="O49" s="3"/>
      <c r="P49" s="192" t="s">
        <v>73</v>
      </c>
      <c r="Q49" s="192" t="s">
        <v>74</v>
      </c>
      <c r="R49" s="192" t="s">
        <v>91</v>
      </c>
      <c r="S49" s="192" t="s">
        <v>94</v>
      </c>
      <c r="T49" s="3"/>
      <c r="U49" s="3"/>
      <c r="V49" s="171" t="s">
        <v>95</v>
      </c>
      <c r="W49" s="171" t="s">
        <v>74</v>
      </c>
      <c r="X49" s="171" t="s">
        <v>91</v>
      </c>
      <c r="Y49" s="171" t="s">
        <v>94</v>
      </c>
      <c r="Z49" s="142"/>
      <c r="AA49" s="142"/>
      <c r="AB49" s="3"/>
      <c r="AC49" s="3"/>
      <c r="AD49" s="3"/>
    </row>
    <row r="50" spans="1:30" x14ac:dyDescent="0.25">
      <c r="A50" s="3"/>
      <c r="B50" s="33"/>
      <c r="C50" s="37" t="s">
        <v>70</v>
      </c>
      <c r="D50" s="172">
        <f>SUM(D51:D54)</f>
        <v>27502753.400000002</v>
      </c>
      <c r="E50" s="172">
        <f t="shared" ref="E50:F50" si="31">SUM(E51:E54)</f>
        <v>15838150.9</v>
      </c>
      <c r="F50" s="172">
        <f t="shared" si="31"/>
        <v>9874385.9299999997</v>
      </c>
      <c r="G50" s="173">
        <f>D50+E50-F50</f>
        <v>33466518.370000005</v>
      </c>
      <c r="H50" s="182"/>
      <c r="I50" s="142"/>
      <c r="J50" s="190">
        <f t="shared" ref="J50:L50" si="32">SUM(J51:J54)</f>
        <v>35290000</v>
      </c>
      <c r="K50" s="190">
        <f t="shared" si="32"/>
        <v>21180000</v>
      </c>
      <c r="L50" s="190">
        <f t="shared" si="32"/>
        <v>45100000</v>
      </c>
      <c r="M50" s="190">
        <f>SUM(M51:M54)</f>
        <v>11370000</v>
      </c>
      <c r="N50" s="3"/>
      <c r="O50" s="3"/>
      <c r="P50" s="172">
        <f>SUM(P51:P54)</f>
        <v>33466518.339999996</v>
      </c>
      <c r="Q50" s="172">
        <f t="shared" ref="Q50:S50" si="33">SUM(Q51:Q54)</f>
        <v>6078152.0299999993</v>
      </c>
      <c r="R50" s="172">
        <f t="shared" si="33"/>
        <v>5611227.75</v>
      </c>
      <c r="S50" s="172">
        <f t="shared" si="33"/>
        <v>33933442.619999997</v>
      </c>
      <c r="T50" s="3"/>
      <c r="U50" s="3"/>
      <c r="V50" s="172">
        <f>SUM(V51:V54)</f>
        <v>43290000</v>
      </c>
      <c r="W50" s="172">
        <f t="shared" ref="W50" si="34">SUM(W51:W54)</f>
        <v>10931400</v>
      </c>
      <c r="X50" s="172">
        <f t="shared" ref="X50" si="35">SUM(X51:X54)</f>
        <v>32420000</v>
      </c>
      <c r="Y50" s="172">
        <f t="shared" ref="Y50" si="36">SUM(Y51:Y54)</f>
        <v>21801400</v>
      </c>
      <c r="Z50" s="142"/>
      <c r="AA50" s="142"/>
      <c r="AB50" s="3"/>
      <c r="AC50" s="3"/>
      <c r="AD50" s="3"/>
    </row>
    <row r="51" spans="1:30" x14ac:dyDescent="0.25">
      <c r="A51" s="3"/>
      <c r="B51" s="33"/>
      <c r="C51" s="37" t="s">
        <v>71</v>
      </c>
      <c r="D51" s="172">
        <f>1218077.51+3397348.34</f>
        <v>4615425.8499999996</v>
      </c>
      <c r="E51" s="172">
        <f>363770.39+365604.49</f>
        <v>729374.88</v>
      </c>
      <c r="F51" s="172"/>
      <c r="G51" s="173">
        <f t="shared" ref="G51:G54" si="37">D51+E51-F51</f>
        <v>5344800.7299999995</v>
      </c>
      <c r="H51" s="182"/>
      <c r="I51" s="142"/>
      <c r="J51" s="191">
        <v>7000000</v>
      </c>
      <c r="K51" s="191"/>
      <c r="L51" s="191">
        <v>1500000</v>
      </c>
      <c r="M51" s="190">
        <f t="shared" ref="M51:M54" si="38">J51+K51-L51</f>
        <v>5500000</v>
      </c>
      <c r="N51" s="3"/>
      <c r="O51" s="3"/>
      <c r="P51" s="172">
        <v>5344800.7</v>
      </c>
      <c r="Q51" s="172">
        <v>1502826.96</v>
      </c>
      <c r="R51" s="172"/>
      <c r="S51" s="194">
        <v>6847627.6600000001</v>
      </c>
      <c r="T51" s="3"/>
      <c r="U51" s="3"/>
      <c r="V51" s="172">
        <v>7000000</v>
      </c>
      <c r="W51" s="172">
        <v>350000</v>
      </c>
      <c r="X51" s="172">
        <f>+X20</f>
        <v>2000000</v>
      </c>
      <c r="Y51" s="173">
        <f t="shared" ref="Y51:Y54" si="39">V51+W51-X51</f>
        <v>5350000</v>
      </c>
      <c r="Z51" s="142"/>
      <c r="AA51" s="142"/>
      <c r="AB51" s="3"/>
      <c r="AC51" s="3"/>
      <c r="AD51" s="3"/>
    </row>
    <row r="52" spans="1:30" x14ac:dyDescent="0.25">
      <c r="A52" s="3"/>
      <c r="B52" s="33"/>
      <c r="C52" s="37" t="s">
        <v>72</v>
      </c>
      <c r="D52" s="172">
        <v>21672818.82</v>
      </c>
      <c r="E52" s="172">
        <v>14394575.6</v>
      </c>
      <c r="F52" s="172">
        <v>9297423.9299999997</v>
      </c>
      <c r="G52" s="173">
        <f t="shared" si="37"/>
        <v>26769970.490000002</v>
      </c>
      <c r="H52" s="182"/>
      <c r="I52" s="142"/>
      <c r="J52" s="191">
        <v>27000000</v>
      </c>
      <c r="K52" s="191">
        <v>20500000</v>
      </c>
      <c r="L52" s="191">
        <v>43000000</v>
      </c>
      <c r="M52" s="190">
        <f t="shared" si="38"/>
        <v>4500000</v>
      </c>
      <c r="N52" s="3"/>
      <c r="O52" s="3"/>
      <c r="P52" s="172">
        <v>26769970.489999998</v>
      </c>
      <c r="Q52" s="172">
        <v>4426228.68</v>
      </c>
      <c r="R52" s="172">
        <v>5401358.75</v>
      </c>
      <c r="S52" s="194">
        <v>25794840.419999998</v>
      </c>
      <c r="T52" s="3"/>
      <c r="U52" s="3"/>
      <c r="V52" s="195">
        <v>35000000</v>
      </c>
      <c r="W52" s="195">
        <f>+V47+AA37</f>
        <v>10200000</v>
      </c>
      <c r="X52" s="195">
        <v>30000000</v>
      </c>
      <c r="Y52" s="194">
        <f t="shared" si="39"/>
        <v>15200000</v>
      </c>
      <c r="Z52" s="142"/>
      <c r="AA52" s="142"/>
      <c r="AB52" s="3"/>
      <c r="AC52" s="3"/>
      <c r="AD52" s="3"/>
    </row>
    <row r="53" spans="1:30" x14ac:dyDescent="0.25">
      <c r="A53" s="3"/>
      <c r="B53" s="33"/>
      <c r="C53" s="37" t="s">
        <v>88</v>
      </c>
      <c r="D53" s="172">
        <v>600000</v>
      </c>
      <c r="E53" s="172">
        <v>90000</v>
      </c>
      <c r="F53" s="172"/>
      <c r="G53" s="173">
        <f t="shared" si="37"/>
        <v>690000</v>
      </c>
      <c r="H53" s="182"/>
      <c r="I53" s="142"/>
      <c r="J53" s="191">
        <v>690000</v>
      </c>
      <c r="K53" s="191"/>
      <c r="L53" s="191"/>
      <c r="M53" s="190">
        <f t="shared" si="38"/>
        <v>690000</v>
      </c>
      <c r="N53" s="3"/>
      <c r="O53" s="3"/>
      <c r="P53" s="172">
        <v>690000</v>
      </c>
      <c r="Q53" s="172">
        <v>0</v>
      </c>
      <c r="R53" s="172">
        <v>0</v>
      </c>
      <c r="S53" s="194">
        <v>690000</v>
      </c>
      <c r="T53" s="3"/>
      <c r="U53" s="3"/>
      <c r="V53" s="172">
        <v>690000</v>
      </c>
      <c r="W53" s="172">
        <v>0</v>
      </c>
      <c r="X53" s="172">
        <v>0</v>
      </c>
      <c r="Y53" s="173">
        <f t="shared" si="39"/>
        <v>690000</v>
      </c>
      <c r="Z53" s="142"/>
      <c r="AA53" s="142"/>
      <c r="AB53" s="3"/>
      <c r="AC53" s="3"/>
      <c r="AD53" s="3"/>
    </row>
    <row r="54" spans="1:30" x14ac:dyDescent="0.25">
      <c r="A54" s="3"/>
      <c r="B54" s="33"/>
      <c r="C54" s="79" t="s">
        <v>89</v>
      </c>
      <c r="D54" s="172">
        <v>614508.73</v>
      </c>
      <c r="E54" s="172">
        <v>624200.42000000004</v>
      </c>
      <c r="F54" s="172">
        <v>576962</v>
      </c>
      <c r="G54" s="173">
        <f t="shared" si="37"/>
        <v>661747.14999999991</v>
      </c>
      <c r="H54" s="182"/>
      <c r="I54" s="142"/>
      <c r="J54" s="191">
        <v>600000</v>
      </c>
      <c r="K54" s="191">
        <v>680000</v>
      </c>
      <c r="L54" s="191">
        <v>600000</v>
      </c>
      <c r="M54" s="190">
        <f t="shared" si="38"/>
        <v>680000</v>
      </c>
      <c r="N54" s="3"/>
      <c r="O54" s="3"/>
      <c r="P54" s="172">
        <v>661747.15</v>
      </c>
      <c r="Q54" s="172">
        <v>149096.39000000001</v>
      </c>
      <c r="R54" s="172">
        <v>209869</v>
      </c>
      <c r="S54" s="194">
        <v>600974.54</v>
      </c>
      <c r="T54" s="3"/>
      <c r="U54" s="3"/>
      <c r="V54" s="172">
        <v>600000</v>
      </c>
      <c r="W54" s="172">
        <f>+AA33*0.01</f>
        <v>381400</v>
      </c>
      <c r="X54" s="172">
        <v>420000</v>
      </c>
      <c r="Y54" s="173">
        <f t="shared" si="39"/>
        <v>561400</v>
      </c>
      <c r="Z54" s="142"/>
      <c r="AA54" s="142"/>
      <c r="AB54" s="3"/>
      <c r="AC54" s="3"/>
      <c r="AD54" s="3"/>
    </row>
    <row r="55" spans="1:30" ht="10.5" customHeight="1" x14ac:dyDescent="0.25">
      <c r="A55" s="3"/>
      <c r="B55" s="33"/>
      <c r="C55" s="34"/>
      <c r="D55" s="182"/>
      <c r="E55" s="182"/>
      <c r="F55" s="182"/>
      <c r="G55" s="182"/>
      <c r="H55" s="182"/>
      <c r="I55" s="142"/>
      <c r="J55" s="187"/>
      <c r="K55" s="187"/>
      <c r="L55" s="187"/>
      <c r="M55" s="187"/>
      <c r="N55" s="3"/>
      <c r="O55" s="3"/>
      <c r="P55" s="3"/>
      <c r="Q55" s="3"/>
      <c r="R55" s="3"/>
      <c r="S55" s="3"/>
      <c r="T55" s="3"/>
      <c r="U55" s="3"/>
      <c r="V55" s="142"/>
      <c r="W55" s="142"/>
      <c r="X55" s="142"/>
      <c r="Y55" s="142"/>
      <c r="Z55" s="142"/>
      <c r="AA55" s="142"/>
      <c r="AB55" s="3"/>
      <c r="AC55" s="3"/>
      <c r="AD55" s="3"/>
    </row>
    <row r="56" spans="1:30" x14ac:dyDescent="0.25">
      <c r="A56" s="3"/>
      <c r="B56" s="33"/>
      <c r="C56" s="50" t="s">
        <v>75</v>
      </c>
      <c r="D56" s="171" t="s">
        <v>76</v>
      </c>
      <c r="E56" s="171" t="s">
        <v>96</v>
      </c>
      <c r="F56" s="182"/>
      <c r="G56" s="182"/>
      <c r="H56" s="182"/>
      <c r="I56" s="183"/>
      <c r="J56" s="192" t="s">
        <v>97</v>
      </c>
      <c r="K56" s="188"/>
      <c r="L56" s="188"/>
      <c r="M56" s="188"/>
      <c r="N56" s="35"/>
      <c r="O56" s="36"/>
      <c r="P56" s="51" t="s">
        <v>98</v>
      </c>
      <c r="Q56" s="36"/>
      <c r="R56" s="36"/>
      <c r="S56" s="36"/>
      <c r="T56" s="36"/>
      <c r="U56" s="36"/>
      <c r="V56" s="171" t="s">
        <v>97</v>
      </c>
      <c r="W56" s="142"/>
      <c r="X56" s="142"/>
      <c r="Y56" s="142"/>
      <c r="Z56" s="142"/>
      <c r="AA56" s="142"/>
      <c r="AB56" s="3"/>
      <c r="AC56" s="3"/>
      <c r="AD56" s="3"/>
    </row>
    <row r="57" spans="1:30" x14ac:dyDescent="0.25">
      <c r="A57" s="3"/>
      <c r="B57" s="33"/>
      <c r="C57" s="37"/>
      <c r="D57" s="174">
        <v>73</v>
      </c>
      <c r="E57" s="174">
        <v>79</v>
      </c>
      <c r="F57" s="182"/>
      <c r="G57" s="182"/>
      <c r="H57" s="182"/>
      <c r="I57" s="183"/>
      <c r="J57" s="193">
        <v>87</v>
      </c>
      <c r="K57" s="188"/>
      <c r="L57" s="188"/>
      <c r="M57" s="188"/>
      <c r="N57" s="35"/>
      <c r="O57" s="36"/>
      <c r="P57" s="41">
        <v>80</v>
      </c>
      <c r="Q57" s="36"/>
      <c r="R57" s="36"/>
      <c r="S57" s="36"/>
      <c r="T57" s="36"/>
      <c r="U57" s="36"/>
      <c r="V57" s="174">
        <v>93</v>
      </c>
      <c r="W57" s="142"/>
      <c r="X57" s="142"/>
      <c r="Y57" s="142"/>
      <c r="Z57" s="142"/>
      <c r="AA57" s="142"/>
      <c r="AB57" s="3"/>
      <c r="AC57" s="3"/>
      <c r="AD57" s="3"/>
    </row>
    <row r="58" spans="1:30" x14ac:dyDescent="0.25">
      <c r="A58" s="3"/>
      <c r="B58" s="33"/>
      <c r="C58" s="34"/>
      <c r="D58" s="182"/>
      <c r="E58" s="182"/>
      <c r="F58" s="182"/>
      <c r="G58" s="182"/>
      <c r="H58" s="182"/>
      <c r="I58" s="183"/>
      <c r="J58" s="35"/>
      <c r="K58" s="35"/>
      <c r="L58" s="35"/>
      <c r="M58" s="35"/>
      <c r="N58" s="35"/>
      <c r="O58" s="36"/>
      <c r="P58" s="36"/>
      <c r="Q58" s="36"/>
      <c r="R58" s="36"/>
      <c r="S58" s="36"/>
      <c r="T58" s="36"/>
      <c r="U58" s="36"/>
      <c r="V58" s="142"/>
      <c r="W58" s="142"/>
      <c r="X58" s="142"/>
      <c r="Y58" s="142"/>
      <c r="Z58" s="142"/>
      <c r="AA58" s="142"/>
      <c r="AB58" s="3"/>
      <c r="AC58" s="3"/>
      <c r="AD58" s="3"/>
    </row>
    <row r="59" spans="1:30" x14ac:dyDescent="0.25">
      <c r="A59" s="3"/>
      <c r="B59" s="53" t="s">
        <v>92</v>
      </c>
      <c r="C59" s="52"/>
      <c r="D59" s="264"/>
      <c r="E59" s="264"/>
      <c r="F59" s="264"/>
      <c r="G59" s="264"/>
      <c r="H59" s="264"/>
      <c r="I59" s="264"/>
      <c r="J59" s="264"/>
      <c r="K59" s="264"/>
      <c r="L59" s="264"/>
      <c r="M59" s="264"/>
      <c r="N59" s="264"/>
      <c r="O59" s="264"/>
      <c r="P59" s="264"/>
      <c r="Q59" s="264"/>
      <c r="R59" s="264"/>
      <c r="S59" s="264"/>
      <c r="T59" s="264"/>
      <c r="U59" s="264"/>
      <c r="V59" s="175"/>
      <c r="W59" s="175"/>
      <c r="X59" s="175"/>
      <c r="Y59" s="175"/>
      <c r="Z59" s="175"/>
      <c r="AA59" s="175"/>
      <c r="AB59" s="89"/>
      <c r="AC59" s="3"/>
      <c r="AD59" s="3"/>
    </row>
    <row r="60" spans="1:30" x14ac:dyDescent="0.25">
      <c r="A60" s="3"/>
      <c r="B60" s="196" t="s">
        <v>57</v>
      </c>
      <c r="D60"/>
      <c r="E60"/>
      <c r="F60"/>
      <c r="G60"/>
      <c r="H60"/>
      <c r="I60"/>
      <c r="M60"/>
      <c r="AB60" s="72"/>
      <c r="AC60" s="3"/>
      <c r="AD60" s="3"/>
    </row>
    <row r="61" spans="1:30" x14ac:dyDescent="0.25">
      <c r="A61" s="3"/>
      <c r="B61" s="258" t="s">
        <v>120</v>
      </c>
      <c r="C61" s="259"/>
      <c r="D61" s="259"/>
      <c r="E61" s="259"/>
      <c r="F61" s="259"/>
      <c r="G61" s="259"/>
      <c r="H61" s="259"/>
      <c r="I61" s="259"/>
      <c r="J61" s="259"/>
      <c r="K61" s="259"/>
      <c r="L61" s="259"/>
      <c r="M61" s="259"/>
      <c r="N61" s="259"/>
      <c r="O61" s="259"/>
      <c r="P61" s="259"/>
      <c r="Q61" s="259"/>
      <c r="R61" s="259"/>
      <c r="S61" s="259"/>
      <c r="T61" s="259"/>
      <c r="U61" s="259"/>
      <c r="AB61" s="72"/>
      <c r="AC61" s="3"/>
      <c r="AD61" s="3"/>
    </row>
    <row r="62" spans="1:30" x14ac:dyDescent="0.25">
      <c r="A62" s="3"/>
      <c r="B62" s="263" t="s">
        <v>108</v>
      </c>
      <c r="C62" s="200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AB62" s="72"/>
      <c r="AC62" s="3"/>
      <c r="AD62" s="3"/>
    </row>
    <row r="63" spans="1:30" x14ac:dyDescent="0.25">
      <c r="A63" s="3"/>
      <c r="B63" s="258" t="s">
        <v>114</v>
      </c>
      <c r="C63" s="259"/>
      <c r="D63" s="259"/>
      <c r="E63" s="259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259"/>
      <c r="R63" s="259"/>
      <c r="S63" s="259"/>
      <c r="T63" s="259"/>
      <c r="U63" s="259"/>
      <c r="AB63" s="72"/>
      <c r="AC63" s="3"/>
      <c r="AD63" s="3"/>
    </row>
    <row r="64" spans="1:30" x14ac:dyDescent="0.25">
      <c r="A64" s="3"/>
      <c r="B64" s="197" t="s">
        <v>109</v>
      </c>
      <c r="C64" s="189"/>
      <c r="D64" s="189"/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AB64" s="72"/>
      <c r="AC64" s="3"/>
      <c r="AD64" s="3"/>
    </row>
    <row r="65" spans="1:30" x14ac:dyDescent="0.25">
      <c r="A65" s="3"/>
      <c r="B65" s="197" t="s">
        <v>110</v>
      </c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189"/>
      <c r="AB65" s="72"/>
      <c r="AC65" s="3"/>
      <c r="AD65" s="3"/>
    </row>
    <row r="66" spans="1:30" x14ac:dyDescent="0.25">
      <c r="A66" s="3"/>
      <c r="B66" s="91" t="s">
        <v>123</v>
      </c>
      <c r="C66" s="189"/>
      <c r="D66" s="189"/>
      <c r="E66" s="189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89"/>
      <c r="T66" s="189"/>
      <c r="U66" s="189"/>
      <c r="AB66" s="72"/>
      <c r="AC66" s="3"/>
      <c r="AD66" s="3"/>
    </row>
    <row r="67" spans="1:30" x14ac:dyDescent="0.25">
      <c r="A67" s="3"/>
      <c r="B67" s="91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AB67" s="72"/>
      <c r="AC67" s="3"/>
      <c r="AD67" s="3"/>
    </row>
    <row r="68" spans="1:30" x14ac:dyDescent="0.25">
      <c r="A68" s="3"/>
      <c r="B68" s="91" t="s">
        <v>104</v>
      </c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AB68" s="72"/>
      <c r="AC68" s="3"/>
      <c r="AD68" s="3"/>
    </row>
    <row r="69" spans="1:30" x14ac:dyDescent="0.25">
      <c r="A69" s="3"/>
      <c r="B69" s="91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AB69" s="72"/>
      <c r="AC69" s="3"/>
      <c r="AD69" s="3"/>
    </row>
    <row r="70" spans="1:30" x14ac:dyDescent="0.25">
      <c r="A70" s="3"/>
      <c r="B70" s="197" t="s">
        <v>121</v>
      </c>
      <c r="C70" s="189"/>
      <c r="D70" s="189"/>
      <c r="E70" s="189"/>
      <c r="F70" s="189"/>
      <c r="G70" s="189"/>
      <c r="H70" s="189"/>
      <c r="I70" s="189"/>
      <c r="J70" s="189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AB70" s="72"/>
      <c r="AC70" s="3"/>
      <c r="AD70" s="3"/>
    </row>
    <row r="71" spans="1:30" x14ac:dyDescent="0.25">
      <c r="A71" s="3"/>
      <c r="B71" s="197" t="s">
        <v>111</v>
      </c>
      <c r="C71" s="189"/>
      <c r="D71" s="189"/>
      <c r="E71" s="189"/>
      <c r="F71" s="189"/>
      <c r="G71" s="189"/>
      <c r="H71" s="189"/>
      <c r="I71" s="189"/>
      <c r="J71" s="189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AB71" s="72"/>
      <c r="AC71" s="3"/>
      <c r="AD71" s="3"/>
    </row>
    <row r="72" spans="1:30" x14ac:dyDescent="0.25">
      <c r="A72" s="3"/>
      <c r="B72" s="197" t="s">
        <v>105</v>
      </c>
      <c r="C72" s="189"/>
      <c r="D72" s="189"/>
      <c r="E72" s="189"/>
      <c r="F72" s="189"/>
      <c r="G72" s="189"/>
      <c r="H72" s="189"/>
      <c r="I72" s="189"/>
      <c r="J72" s="189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AB72" s="72"/>
      <c r="AC72" s="3"/>
      <c r="AD72" s="3"/>
    </row>
    <row r="73" spans="1:30" x14ac:dyDescent="0.25">
      <c r="A73" s="3"/>
      <c r="B73" s="197" t="s">
        <v>112</v>
      </c>
      <c r="C73" s="189"/>
      <c r="D73" s="189"/>
      <c r="E73" s="189"/>
      <c r="F73" s="189"/>
      <c r="G73" s="189"/>
      <c r="H73" s="189"/>
      <c r="I73" s="189"/>
      <c r="J73" s="189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AB73" s="72"/>
      <c r="AC73" s="3"/>
      <c r="AD73" s="3"/>
    </row>
    <row r="74" spans="1:30" x14ac:dyDescent="0.25">
      <c r="A74" s="3"/>
      <c r="B74" s="197" t="s">
        <v>113</v>
      </c>
      <c r="C74" s="189"/>
      <c r="D74" s="189"/>
      <c r="E74" s="189"/>
      <c r="F74" s="189"/>
      <c r="G74" s="189"/>
      <c r="H74" s="189"/>
      <c r="I74" s="189"/>
      <c r="J74" s="189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AB74" s="72"/>
      <c r="AC74" s="3"/>
      <c r="AD74" s="3"/>
    </row>
    <row r="75" spans="1:30" x14ac:dyDescent="0.25">
      <c r="A75" s="3"/>
      <c r="B75" s="91" t="s">
        <v>106</v>
      </c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AB75" s="72"/>
      <c r="AC75" s="3"/>
      <c r="AD75" s="3"/>
    </row>
    <row r="76" spans="1:30" hidden="1" x14ac:dyDescent="0.25">
      <c r="A76" s="3"/>
      <c r="B76" s="91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AB76" s="72"/>
      <c r="AC76" s="3"/>
      <c r="AD76" s="3"/>
    </row>
    <row r="77" spans="1:30" hidden="1" x14ac:dyDescent="0.25">
      <c r="A77" s="3"/>
      <c r="B77" s="9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AB77" s="72"/>
      <c r="AC77" s="3"/>
      <c r="AD77" s="3"/>
    </row>
    <row r="78" spans="1:30" x14ac:dyDescent="0.25">
      <c r="A78" s="3"/>
      <c r="B78" s="197"/>
      <c r="C78" s="189"/>
      <c r="D78" s="189"/>
      <c r="E78" s="189"/>
      <c r="F78" s="189"/>
      <c r="G78" s="189"/>
      <c r="H78" s="189"/>
      <c r="I78" s="189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AB78" s="72"/>
      <c r="AC78" s="3"/>
      <c r="AD78" s="3"/>
    </row>
    <row r="79" spans="1:30" x14ac:dyDescent="0.25">
      <c r="A79" s="3"/>
      <c r="B79" s="42" t="s">
        <v>107</v>
      </c>
      <c r="C79" s="189"/>
      <c r="D79" s="189"/>
      <c r="E79" s="189"/>
      <c r="F79" s="189"/>
      <c r="G79" s="189"/>
      <c r="H79" s="189"/>
      <c r="I79" s="189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AB79" s="72"/>
      <c r="AC79" s="3"/>
      <c r="AD79" s="3"/>
    </row>
    <row r="80" spans="1:30" x14ac:dyDescent="0.25">
      <c r="A80" s="3"/>
      <c r="B80" s="91" t="s">
        <v>122</v>
      </c>
      <c r="C80" s="42"/>
      <c r="D80" s="189"/>
      <c r="E80" s="189"/>
      <c r="F80" s="189"/>
      <c r="G80" s="189"/>
      <c r="H80" s="189"/>
      <c r="I80" s="189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AB80" s="72"/>
      <c r="AC80" s="3"/>
      <c r="AD80" s="3"/>
    </row>
    <row r="81" spans="1:30" x14ac:dyDescent="0.25">
      <c r="A81" s="3"/>
      <c r="B81" s="9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AB81" s="72"/>
      <c r="AC81" s="3"/>
      <c r="AD81" s="3"/>
    </row>
    <row r="82" spans="1:30" hidden="1" x14ac:dyDescent="0.25">
      <c r="A82" s="3"/>
      <c r="B82" s="91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AB82" s="72"/>
      <c r="AC82" s="3"/>
      <c r="AD82" s="3"/>
    </row>
    <row r="83" spans="1:30" hidden="1" x14ac:dyDescent="0.25">
      <c r="A83" s="3"/>
      <c r="B83" s="263"/>
      <c r="C83" s="200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0"/>
      <c r="Q83" s="200"/>
      <c r="R83" s="200"/>
      <c r="S83" s="200"/>
      <c r="T83" s="200"/>
      <c r="U83" s="200"/>
      <c r="AB83" s="72"/>
      <c r="AC83" s="3"/>
      <c r="AD83" s="3"/>
    </row>
    <row r="84" spans="1:30" hidden="1" x14ac:dyDescent="0.25">
      <c r="A84" s="3"/>
      <c r="B84" s="197"/>
      <c r="C84" s="189"/>
      <c r="D84"/>
      <c r="E84"/>
      <c r="F84" s="189"/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AB84" s="72"/>
      <c r="AC84" s="3"/>
      <c r="AD84" s="3"/>
    </row>
    <row r="85" spans="1:30" hidden="1" x14ac:dyDescent="0.25">
      <c r="A85" s="3"/>
      <c r="B85" s="197"/>
      <c r="C85" s="189"/>
      <c r="D85" s="2"/>
      <c r="E85" s="2"/>
      <c r="F85" s="189"/>
      <c r="G85" s="189"/>
      <c r="H85" s="189"/>
      <c r="I85" s="189"/>
      <c r="J85" s="189"/>
      <c r="K85" s="189"/>
      <c r="L85" s="189"/>
      <c r="M85" s="189"/>
      <c r="N85" s="189"/>
      <c r="O85" s="189"/>
      <c r="P85" s="189"/>
      <c r="Q85" s="189"/>
      <c r="R85" s="189"/>
      <c r="S85" s="189"/>
      <c r="T85" s="189"/>
      <c r="U85" s="189"/>
      <c r="AB85" s="72"/>
      <c r="AC85" s="3"/>
      <c r="AD85" s="3"/>
    </row>
    <row r="86" spans="1:30" hidden="1" x14ac:dyDescent="0.25">
      <c r="A86" s="3"/>
      <c r="B86" s="197"/>
      <c r="C86" s="189"/>
      <c r="D86" s="2"/>
      <c r="E86" s="2"/>
      <c r="F86" s="189"/>
      <c r="G86" s="189"/>
      <c r="H86" s="189"/>
      <c r="I86" s="189"/>
      <c r="J86" s="189"/>
      <c r="K86" s="189"/>
      <c r="L86" s="189"/>
      <c r="M86" s="189"/>
      <c r="N86" s="189"/>
      <c r="O86" s="189"/>
      <c r="P86" s="189"/>
      <c r="Q86" s="189"/>
      <c r="R86" s="189"/>
      <c r="S86" s="189"/>
      <c r="T86" s="189"/>
      <c r="U86" s="189"/>
      <c r="AB86" s="72"/>
      <c r="AC86" s="3"/>
      <c r="AD86" s="3"/>
    </row>
    <row r="87" spans="1:30" hidden="1" x14ac:dyDescent="0.25">
      <c r="A87" s="3"/>
      <c r="B87" s="91"/>
      <c r="C87" s="42"/>
      <c r="D87" s="2"/>
      <c r="E87" s="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177"/>
      <c r="W87" s="177"/>
      <c r="X87" s="177"/>
      <c r="Y87" s="177"/>
      <c r="Z87" s="177"/>
      <c r="AA87" s="177"/>
      <c r="AB87" s="90"/>
      <c r="AC87" s="3"/>
      <c r="AD87" s="3"/>
    </row>
    <row r="88" spans="1:30" hidden="1" x14ac:dyDescent="0.25">
      <c r="A88" s="3"/>
      <c r="B88" s="91"/>
      <c r="D88" s="2"/>
      <c r="E88" s="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142"/>
      <c r="W88" s="142"/>
      <c r="X88" s="142"/>
      <c r="Y88" s="142"/>
      <c r="Z88" s="142"/>
      <c r="AA88" s="142"/>
      <c r="AB88" s="3"/>
      <c r="AC88" s="3"/>
      <c r="AD88" s="3"/>
    </row>
    <row r="89" spans="1:30" hidden="1" x14ac:dyDescent="0.25">
      <c r="A89" s="3"/>
      <c r="B89" s="91"/>
      <c r="C89" s="42"/>
      <c r="D89" s="2"/>
      <c r="E89" s="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142"/>
      <c r="W89" s="142"/>
      <c r="X89" s="142"/>
      <c r="Y89" s="142"/>
      <c r="Z89" s="142"/>
      <c r="AA89" s="142"/>
      <c r="AB89" s="3"/>
      <c r="AC89" s="3"/>
      <c r="AD89" s="3"/>
    </row>
    <row r="90" spans="1:30" x14ac:dyDescent="0.25">
      <c r="A90" s="3"/>
      <c r="B90" s="91"/>
      <c r="C90" s="42"/>
      <c r="D90" s="2"/>
      <c r="E90" s="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142"/>
      <c r="W90" s="142"/>
      <c r="X90" s="142"/>
      <c r="Y90" s="142"/>
      <c r="Z90" s="142"/>
      <c r="AA90" s="142"/>
      <c r="AB90" s="3"/>
      <c r="AC90" s="3"/>
      <c r="AD90" s="3"/>
    </row>
    <row r="91" spans="1:30" x14ac:dyDescent="0.25">
      <c r="A91" s="3"/>
      <c r="B91" s="38" t="s">
        <v>81</v>
      </c>
      <c r="C91" s="71">
        <v>45574</v>
      </c>
      <c r="D91" s="185" t="s">
        <v>77</v>
      </c>
      <c r="E91" s="256" t="s">
        <v>115</v>
      </c>
      <c r="F91" s="256"/>
      <c r="G91" s="256"/>
      <c r="H91" s="185"/>
      <c r="I91" s="185" t="s">
        <v>78</v>
      </c>
      <c r="J91" s="257" t="s">
        <v>116</v>
      </c>
      <c r="K91" s="257"/>
      <c r="L91" s="257"/>
      <c r="M91" s="257"/>
      <c r="N91" s="38"/>
      <c r="O91" s="38"/>
      <c r="P91" s="38"/>
      <c r="Q91" s="38"/>
      <c r="R91" s="38"/>
      <c r="S91" s="38"/>
      <c r="T91" s="38"/>
      <c r="U91" s="38"/>
      <c r="V91" s="142"/>
      <c r="W91" s="142"/>
      <c r="X91" s="142"/>
      <c r="Y91" s="142"/>
      <c r="Z91" s="142"/>
      <c r="AA91" s="142"/>
      <c r="AB91" s="3"/>
      <c r="AC91" s="3"/>
      <c r="AD91" s="3"/>
    </row>
    <row r="92" spans="1:30" ht="7.5" customHeight="1" x14ac:dyDescent="0.25">
      <c r="A92" s="3"/>
      <c r="B92" s="38"/>
      <c r="C92" s="38"/>
      <c r="D92" s="185"/>
      <c r="E92" s="185"/>
      <c r="F92" s="185"/>
      <c r="G92" s="185"/>
      <c r="H92" s="185"/>
      <c r="I92" s="185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142"/>
      <c r="W92" s="142"/>
      <c r="X92" s="142"/>
      <c r="Y92" s="142"/>
      <c r="Z92" s="142"/>
      <c r="AA92" s="142"/>
      <c r="AB92" s="3"/>
      <c r="AC92" s="3"/>
      <c r="AD92" s="3"/>
    </row>
    <row r="93" spans="1:30" x14ac:dyDescent="0.25">
      <c r="A93" s="3"/>
      <c r="B93" s="38"/>
      <c r="C93" s="38"/>
      <c r="D93" s="185" t="s">
        <v>80</v>
      </c>
      <c r="E93" s="186"/>
      <c r="F93" s="186"/>
      <c r="G93" s="186"/>
      <c r="H93" s="185"/>
      <c r="I93" s="185" t="s">
        <v>80</v>
      </c>
      <c r="J93" s="39"/>
      <c r="K93" s="39"/>
      <c r="L93" s="39"/>
      <c r="M93" s="39"/>
      <c r="N93" s="38"/>
      <c r="O93" s="38"/>
      <c r="P93" s="38"/>
      <c r="Q93" s="38"/>
      <c r="R93" s="38"/>
      <c r="S93" s="38"/>
      <c r="T93" s="38"/>
      <c r="U93" s="38"/>
      <c r="V93" s="142"/>
      <c r="W93" s="142"/>
      <c r="X93" s="142"/>
      <c r="Y93" s="142"/>
      <c r="Z93" s="142"/>
      <c r="AA93" s="142"/>
      <c r="AB93" s="3"/>
      <c r="AC93" s="3"/>
      <c r="AD93" s="3"/>
    </row>
    <row r="94" spans="1:30" x14ac:dyDescent="0.25">
      <c r="A94" s="3"/>
      <c r="B94" s="38"/>
      <c r="C94" s="38"/>
      <c r="D94" s="185"/>
      <c r="E94" s="186"/>
      <c r="F94" s="186"/>
      <c r="G94" s="186"/>
      <c r="H94" s="185"/>
      <c r="I94" s="185"/>
      <c r="J94" s="39"/>
      <c r="K94" s="39"/>
      <c r="L94" s="39"/>
      <c r="M94" s="39"/>
      <c r="N94" s="38"/>
      <c r="O94" s="38"/>
      <c r="P94" s="38"/>
      <c r="Q94" s="38"/>
      <c r="R94" s="38"/>
      <c r="S94" s="38"/>
      <c r="T94" s="38"/>
      <c r="U94" s="38"/>
      <c r="V94" s="142"/>
      <c r="W94" s="142"/>
      <c r="X94" s="142"/>
      <c r="Y94" s="142"/>
      <c r="Z94" s="142"/>
      <c r="AA94" s="142"/>
      <c r="AB94" s="3"/>
      <c r="AC94" s="3"/>
      <c r="AD94" s="3"/>
    </row>
    <row r="95" spans="1:30" x14ac:dyDescent="0.25">
      <c r="A95" s="3"/>
      <c r="B95" s="38"/>
      <c r="C95" s="38"/>
      <c r="D95" s="185"/>
      <c r="E95" s="185"/>
      <c r="F95" s="185"/>
      <c r="G95" s="185"/>
      <c r="H95" s="185"/>
      <c r="I95" s="185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142"/>
      <c r="W95" s="142"/>
      <c r="X95" s="142"/>
      <c r="Y95" s="142"/>
      <c r="Z95" s="142"/>
      <c r="AA95" s="142"/>
      <c r="AB95" s="3"/>
      <c r="AC95" s="3"/>
      <c r="AD95" s="3"/>
    </row>
    <row r="96" spans="1:30" x14ac:dyDescent="0.25">
      <c r="A96" s="3"/>
      <c r="B96" s="38"/>
      <c r="C96" s="38"/>
      <c r="D96" s="185"/>
      <c r="E96" s="185"/>
      <c r="F96" s="185"/>
      <c r="G96" s="185"/>
      <c r="H96" s="185"/>
      <c r="I96" s="185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142"/>
      <c r="W96" s="142"/>
      <c r="X96" s="142"/>
      <c r="Y96" s="142"/>
      <c r="Z96" s="142"/>
      <c r="AA96" s="142"/>
      <c r="AB96" s="3"/>
      <c r="AC96" s="3"/>
      <c r="AD96" s="3"/>
    </row>
    <row r="113" ht="15" hidden="1" customHeight="1" x14ac:dyDescent="0.25"/>
    <row r="127" ht="15" hidden="1" customHeight="1" x14ac:dyDescent="0.25"/>
    <row r="128" ht="15" hidden="1" customHeight="1" x14ac:dyDescent="0.25"/>
  </sheetData>
  <mergeCells count="65">
    <mergeCell ref="AB25:AB27"/>
    <mergeCell ref="V26:X26"/>
    <mergeCell ref="AA26:AA27"/>
    <mergeCell ref="AB10:AB14"/>
    <mergeCell ref="V11:Y11"/>
    <mergeCell ref="V12:AA12"/>
    <mergeCell ref="V13:X13"/>
    <mergeCell ref="AA13:AA14"/>
    <mergeCell ref="Y26:Y27"/>
    <mergeCell ref="Z26:Z27"/>
    <mergeCell ref="V10:AA10"/>
    <mergeCell ref="V25:AA25"/>
    <mergeCell ref="Y13:Y14"/>
    <mergeCell ref="Z13:Z14"/>
    <mergeCell ref="I26:I27"/>
    <mergeCell ref="D26:F26"/>
    <mergeCell ref="G26:G27"/>
    <mergeCell ref="S13:S14"/>
    <mergeCell ref="T13:T14"/>
    <mergeCell ref="P25:U25"/>
    <mergeCell ref="P26:R26"/>
    <mergeCell ref="S26:S27"/>
    <mergeCell ref="T26:T27"/>
    <mergeCell ref="U26:U27"/>
    <mergeCell ref="P13:R13"/>
    <mergeCell ref="U13:U14"/>
    <mergeCell ref="M13:M14"/>
    <mergeCell ref="N13:N14"/>
    <mergeCell ref="I13:I14"/>
    <mergeCell ref="E91:G91"/>
    <mergeCell ref="J91:M91"/>
    <mergeCell ref="B63:U63"/>
    <mergeCell ref="C43:C44"/>
    <mergeCell ref="C46:C47"/>
    <mergeCell ref="B83:U83"/>
    <mergeCell ref="B62:U62"/>
    <mergeCell ref="D59:U59"/>
    <mergeCell ref="B61:U61"/>
    <mergeCell ref="B26:B27"/>
    <mergeCell ref="O13:O14"/>
    <mergeCell ref="J25:O25"/>
    <mergeCell ref="J26:L26"/>
    <mergeCell ref="M26:M27"/>
    <mergeCell ref="N26:N27"/>
    <mergeCell ref="O26:O27"/>
    <mergeCell ref="G13:G14"/>
    <mergeCell ref="H13:H14"/>
    <mergeCell ref="C26:C27"/>
    <mergeCell ref="C10:C13"/>
    <mergeCell ref="D13:F13"/>
    <mergeCell ref="H26:H27"/>
    <mergeCell ref="D25:I25"/>
    <mergeCell ref="B10:B13"/>
    <mergeCell ref="J13:L13"/>
    <mergeCell ref="D4:V4"/>
    <mergeCell ref="D8:V8"/>
    <mergeCell ref="J10:O10"/>
    <mergeCell ref="J11:M11"/>
    <mergeCell ref="J12:O12"/>
    <mergeCell ref="P12:U12"/>
    <mergeCell ref="D12:I12"/>
    <mergeCell ref="D10:I10"/>
    <mergeCell ref="D11:G11"/>
    <mergeCell ref="P10:U10"/>
    <mergeCell ref="P11:S11"/>
  </mergeCells>
  <conditionalFormatting sqref="AB15:AB25">
    <cfRule type="cellIs" dxfId="3" priority="13" operator="equal">
      <formula>0</formula>
    </cfRule>
    <cfRule type="containsErrors" dxfId="2" priority="14">
      <formula>ISERROR(AB15)</formula>
    </cfRule>
  </conditionalFormatting>
  <conditionalFormatting sqref="AB28:AB41">
    <cfRule type="cellIs" dxfId="1" priority="1" operator="equal">
      <formula>0</formula>
    </cfRule>
    <cfRule type="containsErrors" dxfId="0" priority="2">
      <formula>ISERROR(AB28)</formula>
    </cfRule>
  </conditionalFormatting>
  <pageMargins left="0.25" right="0.25" top="0.75" bottom="0.75" header="0.3" footer="0.3"/>
  <pageSetup paperSize="8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NR 2025</vt:lpstr>
      <vt:lpstr>'NR 2025'!Oblast_tisku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Matějková Romana</cp:lastModifiedBy>
  <cp:lastPrinted>2024-08-29T13:33:06Z</cp:lastPrinted>
  <dcterms:created xsi:type="dcterms:W3CDTF">2017-02-23T12:10:09Z</dcterms:created>
  <dcterms:modified xsi:type="dcterms:W3CDTF">2024-10-17T09:43:53Z</dcterms:modified>
</cp:coreProperties>
</file>