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38400" windowHeight="17505" tabRatio="936"/>
  </bookViews>
  <sheets>
    <sheet name="CHK" sheetId="7" r:id="rId1"/>
    <sheet name="MěLe" sheetId="8" r:id="rId2"/>
    <sheet name="SOS" sheetId="10" r:id="rId3"/>
    <sheet name="TSmCh" sheetId="11" r:id="rId4"/>
    <sheet name="ZOO" sheetId="12" r:id="rId5"/>
    <sheet name="MŠ" sheetId="13" r:id="rId6"/>
    <sheet name="SVČ Domeček" sheetId="14" r:id="rId7"/>
    <sheet name="ZUŠ" sheetId="25" r:id="rId8"/>
    <sheet name="ZŠaMŠ 17. list." sheetId="15" r:id="rId9"/>
    <sheet name="ZŠSaMŠ Palach" sheetId="16" r:id="rId10"/>
    <sheet name="ZŠ Heyrovsk." sheetId="17" r:id="rId11"/>
    <sheet name="ZŠ Bzezenec." sheetId="18" r:id="rId12"/>
    <sheet name="ZŠ Hornická" sheetId="19" r:id="rId13"/>
    <sheet name="ZŠ Kadaňská" sheetId="20" r:id="rId14"/>
    <sheet name="ZŠ Na Příkopech" sheetId="21" r:id="rId15"/>
    <sheet name="ZŠ Písečná" sheetId="22" r:id="rId16"/>
    <sheet name="ZŠ Školní" sheetId="23" r:id="rId17"/>
    <sheet name="ZŠ Zahradní" sheetId="24" r:id="rId18"/>
  </sheets>
  <externalReferences>
    <externalReference r:id="rId19"/>
    <externalReference r:id="rId20"/>
  </externalReferences>
  <definedNames>
    <definedName name="_xlnm._FilterDatabase" localSheetId="8" hidden="1">'ZŠaMŠ 17. list.'!$D$1:$D$260</definedName>
    <definedName name="_xlnm.Print_Area" localSheetId="0">CHK!$A$1:$AC$95</definedName>
    <definedName name="_xlnm.Print_Area" localSheetId="1">MěLe!$A$1:$AC$98</definedName>
    <definedName name="_xlnm.Print_Area" localSheetId="5">MŠ!$A$1:$AC$96</definedName>
    <definedName name="_xlnm.Print_Area" localSheetId="2">SOS!$A$1:$AC$95</definedName>
    <definedName name="_xlnm.Print_Area" localSheetId="6">'SVČ Domeček'!$A$1:$AC$80</definedName>
    <definedName name="_xlnm.Print_Area" localSheetId="3">TSmCh!$A$1:$AC$85</definedName>
    <definedName name="_xlnm.Print_Area" localSheetId="4">ZOO!$A:$AB</definedName>
    <definedName name="_xlnm.Print_Area" localSheetId="11">'ZŠ Bzezenec.'!$A$1:$AE$96</definedName>
    <definedName name="_xlnm.Print_Area" localSheetId="10">'ZŠ Heyrovsk.'!$A$1:$AC$96</definedName>
    <definedName name="_xlnm.Print_Area" localSheetId="12">'ZŠ Hornická'!$A$1:$AC$96</definedName>
    <definedName name="_xlnm.Print_Area" localSheetId="13">'ZŠ Kadaňská'!$A$1:$AC$96</definedName>
    <definedName name="_xlnm.Print_Area" localSheetId="14">'ZŠ Na Příkopech'!$A$1:$AC$76</definedName>
    <definedName name="_xlnm.Print_Area" localSheetId="15">'ZŠ Písečná'!$A$1:$AC$96</definedName>
    <definedName name="_xlnm.Print_Area" localSheetId="16">'ZŠ Školní'!$A$1:$AC$98</definedName>
    <definedName name="_xlnm.Print_Area" localSheetId="17">'ZŠ Zahradní'!$A:$AC</definedName>
    <definedName name="_xlnm.Print_Area" localSheetId="8">'ZŠaMŠ 17. list.'!$A$1:$AC$80</definedName>
    <definedName name="_xlnm.Print_Area" localSheetId="9">'ZŠSaMŠ Palach'!$A$1:$AC$96</definedName>
    <definedName name="_xlnm.Print_Area" localSheetId="7">ZUŠ!$A$1:$AC$78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5" l="1"/>
  <c r="G15" i="25"/>
  <c r="G24" i="25" s="1"/>
  <c r="I15" i="25"/>
  <c r="M15" i="25"/>
  <c r="O15" i="25" s="1"/>
  <c r="O24" i="25" s="1"/>
  <c r="O40" i="25" s="1"/>
  <c r="O41" i="25" s="1"/>
  <c r="S15" i="25"/>
  <c r="U15" i="25"/>
  <c r="Y15" i="25"/>
  <c r="AA15" i="25" s="1"/>
  <c r="G16" i="25"/>
  <c r="I16" i="25"/>
  <c r="M16" i="25"/>
  <c r="O16" i="25"/>
  <c r="S16" i="25"/>
  <c r="U16" i="25"/>
  <c r="Y16" i="25"/>
  <c r="AA16" i="25"/>
  <c r="AB16" i="25"/>
  <c r="G17" i="25"/>
  <c r="I17" i="25" s="1"/>
  <c r="M17" i="25"/>
  <c r="O17" i="25"/>
  <c r="S17" i="25"/>
  <c r="U17" i="25" s="1"/>
  <c r="Y17" i="25"/>
  <c r="AA17" i="25"/>
  <c r="AB17" i="25"/>
  <c r="G18" i="25"/>
  <c r="I18" i="25"/>
  <c r="M18" i="25"/>
  <c r="O18" i="25"/>
  <c r="S18" i="25"/>
  <c r="U18" i="25"/>
  <c r="Y18" i="25"/>
  <c r="AA18" i="25"/>
  <c r="AB18" i="25" s="1"/>
  <c r="G19" i="25"/>
  <c r="I19" i="25"/>
  <c r="M19" i="25"/>
  <c r="O19" i="25" s="1"/>
  <c r="S19" i="25"/>
  <c r="U19" i="25"/>
  <c r="Y19" i="25"/>
  <c r="AA19" i="25" s="1"/>
  <c r="AB19" i="25" s="1"/>
  <c r="I20" i="25"/>
  <c r="M20" i="25"/>
  <c r="O20" i="25" s="1"/>
  <c r="S20" i="25"/>
  <c r="U20" i="25"/>
  <c r="Y20" i="25"/>
  <c r="AA20" i="25" s="1"/>
  <c r="G21" i="25"/>
  <c r="I21" i="25"/>
  <c r="M21" i="25"/>
  <c r="O21" i="25"/>
  <c r="S21" i="25"/>
  <c r="U21" i="25"/>
  <c r="Y21" i="25"/>
  <c r="AA21" i="25"/>
  <c r="AB21" i="25"/>
  <c r="G22" i="25"/>
  <c r="I22" i="25" s="1"/>
  <c r="M22" i="25"/>
  <c r="O22" i="25"/>
  <c r="S22" i="25"/>
  <c r="U22" i="25" s="1"/>
  <c r="Y22" i="25"/>
  <c r="AA22" i="25"/>
  <c r="AB22" i="25"/>
  <c r="G23" i="25"/>
  <c r="I23" i="25"/>
  <c r="M23" i="25"/>
  <c r="O23" i="25"/>
  <c r="S23" i="25"/>
  <c r="U23" i="25"/>
  <c r="Y23" i="25"/>
  <c r="AA23" i="25"/>
  <c r="AB23" i="25" s="1"/>
  <c r="D24" i="25"/>
  <c r="E24" i="25"/>
  <c r="F24" i="25"/>
  <c r="H24" i="25"/>
  <c r="J24" i="25"/>
  <c r="M24" i="25" s="1"/>
  <c r="K24" i="25"/>
  <c r="L24" i="25"/>
  <c r="N24" i="25"/>
  <c r="P24" i="25"/>
  <c r="S24" i="25" s="1"/>
  <c r="Q24" i="25"/>
  <c r="R24" i="25"/>
  <c r="T24" i="25"/>
  <c r="V24" i="25"/>
  <c r="Y24" i="25" s="1"/>
  <c r="W24" i="25"/>
  <c r="X24" i="25"/>
  <c r="Z24" i="25"/>
  <c r="G28" i="25"/>
  <c r="I28" i="25"/>
  <c r="M28" i="25"/>
  <c r="O28" i="25"/>
  <c r="S28" i="25"/>
  <c r="U28" i="25"/>
  <c r="Y28" i="25"/>
  <c r="AA28" i="25"/>
  <c r="AB28" i="25"/>
  <c r="G29" i="25"/>
  <c r="I29" i="25" s="1"/>
  <c r="M29" i="25"/>
  <c r="O29" i="25"/>
  <c r="S29" i="25"/>
  <c r="U29" i="25" s="1"/>
  <c r="Y29" i="25"/>
  <c r="AA29" i="25"/>
  <c r="AB29" i="25"/>
  <c r="G30" i="25"/>
  <c r="I30" i="25"/>
  <c r="M30" i="25"/>
  <c r="O30" i="25"/>
  <c r="S30" i="25"/>
  <c r="U30" i="25"/>
  <c r="Y30" i="25"/>
  <c r="AA30" i="25"/>
  <c r="AB30" i="25" s="1"/>
  <c r="G31" i="25"/>
  <c r="I31" i="25"/>
  <c r="M31" i="25"/>
  <c r="O31" i="25" s="1"/>
  <c r="O39" i="25" s="1"/>
  <c r="S31" i="25"/>
  <c r="U31" i="25"/>
  <c r="Y31" i="25"/>
  <c r="AA31" i="25" s="1"/>
  <c r="D32" i="25"/>
  <c r="G32" i="25" s="1"/>
  <c r="E32" i="25"/>
  <c r="E39" i="25" s="1"/>
  <c r="E40" i="25" s="1"/>
  <c r="M32" i="25"/>
  <c r="O32" i="25"/>
  <c r="AB32" i="25" s="1"/>
  <c r="P32" i="25"/>
  <c r="Y32" i="25"/>
  <c r="AA32" i="25"/>
  <c r="G33" i="25"/>
  <c r="I33" i="25" s="1"/>
  <c r="M33" i="25"/>
  <c r="O33" i="25"/>
  <c r="Q33" i="25"/>
  <c r="S33" i="25" s="1"/>
  <c r="U33" i="25" s="1"/>
  <c r="Y33" i="25"/>
  <c r="AA33" i="25"/>
  <c r="AB33" i="25" s="1"/>
  <c r="G34" i="25"/>
  <c r="I34" i="25"/>
  <c r="M34" i="25"/>
  <c r="O34" i="25" s="1"/>
  <c r="AB34" i="25" s="1"/>
  <c r="Q34" i="25"/>
  <c r="S34" i="25"/>
  <c r="U34" i="25"/>
  <c r="Y34" i="25"/>
  <c r="AA34" i="25"/>
  <c r="G35" i="25"/>
  <c r="I35" i="25" s="1"/>
  <c r="M35" i="25"/>
  <c r="O35" i="25"/>
  <c r="S35" i="25"/>
  <c r="U35" i="25" s="1"/>
  <c r="Y35" i="25"/>
  <c r="AA35" i="25"/>
  <c r="AB35" i="25"/>
  <c r="G36" i="25"/>
  <c r="I36" i="25"/>
  <c r="M36" i="25"/>
  <c r="O36" i="25"/>
  <c r="S36" i="25"/>
  <c r="U36" i="25"/>
  <c r="Y36" i="25"/>
  <c r="AA36" i="25"/>
  <c r="AB36" i="25" s="1"/>
  <c r="D37" i="25"/>
  <c r="D39" i="25" s="1"/>
  <c r="D40" i="25" s="1"/>
  <c r="G37" i="25"/>
  <c r="I37" i="25"/>
  <c r="M37" i="25"/>
  <c r="O37" i="25"/>
  <c r="S37" i="25"/>
  <c r="U37" i="25"/>
  <c r="Y37" i="25"/>
  <c r="AA37" i="25"/>
  <c r="AB37" i="25"/>
  <c r="G38" i="25"/>
  <c r="I38" i="25" s="1"/>
  <c r="M38" i="25"/>
  <c r="O38" i="25"/>
  <c r="S38" i="25"/>
  <c r="U38" i="25" s="1"/>
  <c r="Y38" i="25"/>
  <c r="AA38" i="25"/>
  <c r="AB38" i="25"/>
  <c r="F39" i="25"/>
  <c r="H39" i="25"/>
  <c r="J39" i="25"/>
  <c r="M39" i="25" s="1"/>
  <c r="K39" i="25"/>
  <c r="K40" i="25" s="1"/>
  <c r="L39" i="25"/>
  <c r="N39" i="25"/>
  <c r="P39" i="25"/>
  <c r="R39" i="25"/>
  <c r="T39" i="25"/>
  <c r="V39" i="25"/>
  <c r="Y39" i="25" s="1"/>
  <c r="W39" i="25"/>
  <c r="W40" i="25" s="1"/>
  <c r="X39" i="25"/>
  <c r="Z39" i="25"/>
  <c r="F40" i="25"/>
  <c r="H40" i="25"/>
  <c r="J40" i="25"/>
  <c r="L40" i="25"/>
  <c r="N40" i="25"/>
  <c r="P40" i="25"/>
  <c r="R40" i="25"/>
  <c r="T40" i="25"/>
  <c r="V40" i="25"/>
  <c r="X40" i="25"/>
  <c r="Z40" i="25"/>
  <c r="G51" i="25"/>
  <c r="G50" i="25" s="1"/>
  <c r="M51" i="25"/>
  <c r="M50" i="25" s="1"/>
  <c r="S51" i="25"/>
  <c r="S50" i="25" s="1"/>
  <c r="Y51" i="25"/>
  <c r="Y50" i="25" s="1"/>
  <c r="G52" i="25"/>
  <c r="M52" i="25"/>
  <c r="Y52" i="25"/>
  <c r="G53" i="25"/>
  <c r="M53" i="25"/>
  <c r="Y53" i="25"/>
  <c r="G54" i="25"/>
  <c r="M54" i="25"/>
  <c r="Y54" i="25"/>
  <c r="Y40" i="25" l="1"/>
  <c r="M40" i="25"/>
  <c r="AA24" i="25"/>
  <c r="AB15" i="25"/>
  <c r="AB20" i="25"/>
  <c r="G40" i="25"/>
  <c r="AB31" i="25"/>
  <c r="AA39" i="25"/>
  <c r="AB39" i="25" s="1"/>
  <c r="I32" i="25"/>
  <c r="I39" i="25" s="1"/>
  <c r="G39" i="25"/>
  <c r="U24" i="25"/>
  <c r="I24" i="25"/>
  <c r="Q32" i="25"/>
  <c r="G15" i="24"/>
  <c r="I15" i="24"/>
  <c r="M15" i="24"/>
  <c r="O15" i="24"/>
  <c r="R15" i="24"/>
  <c r="S15" i="24"/>
  <c r="U15" i="24"/>
  <c r="Y15" i="24"/>
  <c r="AA15" i="24" s="1"/>
  <c r="G16" i="24"/>
  <c r="I16" i="24"/>
  <c r="J16" i="24"/>
  <c r="J24" i="24" s="1"/>
  <c r="M24" i="24" s="1"/>
  <c r="M16" i="24"/>
  <c r="O16" i="24" s="1"/>
  <c r="S16" i="24"/>
  <c r="U16" i="24" s="1"/>
  <c r="Y16" i="24"/>
  <c r="AA16" i="24"/>
  <c r="G17" i="24"/>
  <c r="I17" i="24"/>
  <c r="M17" i="24"/>
  <c r="O17" i="24" s="1"/>
  <c r="S17" i="24"/>
  <c r="U17" i="24"/>
  <c r="V17" i="24"/>
  <c r="Y17" i="24" s="1"/>
  <c r="AA17" i="24" s="1"/>
  <c r="AB17" i="24" s="1"/>
  <c r="G18" i="24"/>
  <c r="I18" i="24"/>
  <c r="M18" i="24"/>
  <c r="O18" i="24" s="1"/>
  <c r="S18" i="24"/>
  <c r="U18" i="24"/>
  <c r="Y18" i="24"/>
  <c r="AA18" i="24" s="1"/>
  <c r="G19" i="24"/>
  <c r="I19" i="24" s="1"/>
  <c r="M19" i="24"/>
  <c r="O19" i="24" s="1"/>
  <c r="S19" i="24"/>
  <c r="U19" i="24" s="1"/>
  <c r="Y19" i="24"/>
  <c r="AA19" i="24"/>
  <c r="AB19" i="24" s="1"/>
  <c r="G20" i="24"/>
  <c r="I20" i="24"/>
  <c r="M20" i="24"/>
  <c r="O20" i="24" s="1"/>
  <c r="S20" i="24"/>
  <c r="U20" i="24"/>
  <c r="Y20" i="24"/>
  <c r="AA20" i="24" s="1"/>
  <c r="G21" i="24"/>
  <c r="I21" i="24"/>
  <c r="M21" i="24"/>
  <c r="O21" i="24" s="1"/>
  <c r="S21" i="24"/>
  <c r="U21" i="24"/>
  <c r="Y21" i="24"/>
  <c r="AA21" i="24" s="1"/>
  <c r="G22" i="24"/>
  <c r="I22" i="24" s="1"/>
  <c r="M22" i="24"/>
  <c r="O22" i="24"/>
  <c r="S22" i="24"/>
  <c r="U22" i="24" s="1"/>
  <c r="Y22" i="24"/>
  <c r="AA22" i="24"/>
  <c r="AB22" i="24"/>
  <c r="G23" i="24"/>
  <c r="I23" i="24" s="1"/>
  <c r="M23" i="24"/>
  <c r="O23" i="24"/>
  <c r="AB23" i="24" s="1"/>
  <c r="S23" i="24"/>
  <c r="U23" i="24" s="1"/>
  <c r="Y23" i="24"/>
  <c r="AA23" i="24"/>
  <c r="D24" i="24"/>
  <c r="G24" i="24" s="1"/>
  <c r="E24" i="24"/>
  <c r="F24" i="24"/>
  <c r="H24" i="24"/>
  <c r="H40" i="24" s="1"/>
  <c r="K24" i="24"/>
  <c r="L24" i="24"/>
  <c r="N24" i="24"/>
  <c r="P24" i="24"/>
  <c r="Q24" i="24"/>
  <c r="R24" i="24"/>
  <c r="S24" i="24"/>
  <c r="T24" i="24"/>
  <c r="W24" i="24"/>
  <c r="X24" i="24"/>
  <c r="X40" i="24" s="1"/>
  <c r="Z24" i="24"/>
  <c r="G28" i="24"/>
  <c r="I28" i="24"/>
  <c r="M28" i="24"/>
  <c r="O28" i="24" s="1"/>
  <c r="S28" i="24"/>
  <c r="U28" i="24"/>
  <c r="Y28" i="24"/>
  <c r="AA28" i="24" s="1"/>
  <c r="G29" i="24"/>
  <c r="I29" i="24" s="1"/>
  <c r="M29" i="24"/>
  <c r="O29" i="24"/>
  <c r="S29" i="24"/>
  <c r="U29" i="24" s="1"/>
  <c r="V29" i="24"/>
  <c r="Y29" i="24"/>
  <c r="AA29" i="24"/>
  <c r="AB29" i="24" s="1"/>
  <c r="G30" i="24"/>
  <c r="I30" i="24"/>
  <c r="M30" i="24"/>
  <c r="O30" i="24" s="1"/>
  <c r="S30" i="24"/>
  <c r="U30" i="24"/>
  <c r="Y30" i="24"/>
  <c r="AA30" i="24" s="1"/>
  <c r="G31" i="24"/>
  <c r="I31" i="24"/>
  <c r="M31" i="24"/>
  <c r="O31" i="24" s="1"/>
  <c r="S31" i="24"/>
  <c r="U31" i="24" s="1"/>
  <c r="V31" i="24"/>
  <c r="Y31" i="24" s="1"/>
  <c r="AA31" i="24" s="1"/>
  <c r="D32" i="24"/>
  <c r="G32" i="24" s="1"/>
  <c r="I32" i="24" s="1"/>
  <c r="E32" i="24"/>
  <c r="F32" i="24"/>
  <c r="F39" i="24" s="1"/>
  <c r="J32" i="24"/>
  <c r="M32" i="24" s="1"/>
  <c r="O32" i="24" s="1"/>
  <c r="K32" i="24"/>
  <c r="K39" i="24" s="1"/>
  <c r="P32" i="24"/>
  <c r="S32" i="24" s="1"/>
  <c r="U32" i="24" s="1"/>
  <c r="Q32" i="24"/>
  <c r="Q39" i="24" s="1"/>
  <c r="W32" i="24"/>
  <c r="W39" i="24" s="1"/>
  <c r="Y39" i="24" s="1"/>
  <c r="G33" i="24"/>
  <c r="I33" i="24" s="1"/>
  <c r="M33" i="24"/>
  <c r="O33" i="24" s="1"/>
  <c r="S33" i="24"/>
  <c r="U33" i="24"/>
  <c r="Y33" i="24"/>
  <c r="AA33" i="24" s="1"/>
  <c r="G34" i="24"/>
  <c r="I34" i="24"/>
  <c r="M34" i="24"/>
  <c r="O34" i="24" s="1"/>
  <c r="S34" i="24"/>
  <c r="U34" i="24"/>
  <c r="V34" i="24"/>
  <c r="V32" i="24" s="1"/>
  <c r="Y32" i="24" s="1"/>
  <c r="AA32" i="24" s="1"/>
  <c r="G35" i="24"/>
  <c r="I35" i="24" s="1"/>
  <c r="M35" i="24"/>
  <c r="O35" i="24"/>
  <c r="S35" i="24"/>
  <c r="U35" i="24" s="1"/>
  <c r="U39" i="24" s="1"/>
  <c r="Y35" i="24"/>
  <c r="AA35" i="24"/>
  <c r="AB35" i="24" s="1"/>
  <c r="G36" i="24"/>
  <c r="I36" i="24" s="1"/>
  <c r="M36" i="24"/>
  <c r="O36" i="24" s="1"/>
  <c r="S36" i="24"/>
  <c r="U36" i="24"/>
  <c r="Y36" i="24"/>
  <c r="AA36" i="24" s="1"/>
  <c r="G37" i="24"/>
  <c r="I37" i="24"/>
  <c r="M37" i="24"/>
  <c r="O37" i="24" s="1"/>
  <c r="S37" i="24"/>
  <c r="U37" i="24"/>
  <c r="Y37" i="24"/>
  <c r="AA37" i="24" s="1"/>
  <c r="AB37" i="24" s="1"/>
  <c r="E38" i="24"/>
  <c r="G38" i="24" s="1"/>
  <c r="I38" i="24" s="1"/>
  <c r="M38" i="24"/>
  <c r="O38" i="24" s="1"/>
  <c r="S38" i="24"/>
  <c r="U38" i="24"/>
  <c r="V38" i="24"/>
  <c r="V39" i="24" s="1"/>
  <c r="H39" i="24"/>
  <c r="J39" i="24"/>
  <c r="M39" i="24" s="1"/>
  <c r="L39" i="24"/>
  <c r="N39" i="24"/>
  <c r="R39" i="24"/>
  <c r="T39" i="24"/>
  <c r="T40" i="24" s="1"/>
  <c r="X39" i="24"/>
  <c r="Z39" i="24"/>
  <c r="L40" i="24"/>
  <c r="G50" i="24"/>
  <c r="J50" i="24"/>
  <c r="M50" i="24" s="1"/>
  <c r="S50" i="24"/>
  <c r="Y50" i="24"/>
  <c r="E51" i="24"/>
  <c r="F51" i="24"/>
  <c r="R51" i="24"/>
  <c r="S51" i="24" s="1"/>
  <c r="Y51" i="24"/>
  <c r="E52" i="24"/>
  <c r="F52" i="24"/>
  <c r="Q52" i="24"/>
  <c r="S52" i="24" s="1"/>
  <c r="Y52" i="24"/>
  <c r="G53" i="24"/>
  <c r="M53" i="24"/>
  <c r="S53" i="24"/>
  <c r="Y53" i="24"/>
  <c r="F54" i="24"/>
  <c r="G54" i="24" s="1"/>
  <c r="J54" i="24" s="1"/>
  <c r="M54" i="24" s="1"/>
  <c r="R54" i="24"/>
  <c r="S54" i="24"/>
  <c r="Y54" i="24"/>
  <c r="Q39" i="25" l="1"/>
  <c r="S32" i="25"/>
  <c r="U32" i="25" s="1"/>
  <c r="U39" i="25" s="1"/>
  <c r="AA40" i="25"/>
  <c r="AB24" i="25"/>
  <c r="I40" i="25"/>
  <c r="I41" i="25" s="1"/>
  <c r="U40" i="25"/>
  <c r="U41" i="25" s="1"/>
  <c r="AB18" i="24"/>
  <c r="AB16" i="24"/>
  <c r="AB20" i="24"/>
  <c r="AB30" i="24"/>
  <c r="AB32" i="24"/>
  <c r="O24" i="24"/>
  <c r="I39" i="24"/>
  <c r="O39" i="24"/>
  <c r="W40" i="24"/>
  <c r="E39" i="24"/>
  <c r="V24" i="24"/>
  <c r="Y24" i="24" s="1"/>
  <c r="K40" i="24"/>
  <c r="N40" i="24"/>
  <c r="AB31" i="24"/>
  <c r="R40" i="24"/>
  <c r="P39" i="24"/>
  <c r="Y38" i="24"/>
  <c r="AA38" i="24" s="1"/>
  <c r="AB38" i="24" s="1"/>
  <c r="AB36" i="24"/>
  <c r="Y34" i="24"/>
  <c r="AA34" i="24" s="1"/>
  <c r="AB34" i="24" s="1"/>
  <c r="AB33" i="24"/>
  <c r="Z40" i="24"/>
  <c r="E40" i="24"/>
  <c r="O40" i="24"/>
  <c r="O41" i="24" s="1"/>
  <c r="AB15" i="24"/>
  <c r="AA24" i="24"/>
  <c r="G51" i="24"/>
  <c r="J51" i="24" s="1"/>
  <c r="M51" i="24" s="1"/>
  <c r="AB28" i="24"/>
  <c r="AB21" i="24"/>
  <c r="U24" i="24"/>
  <c r="U40" i="24" s="1"/>
  <c r="U41" i="24" s="1"/>
  <c r="G52" i="24"/>
  <c r="J52" i="24" s="1"/>
  <c r="M52" i="24" s="1"/>
  <c r="Y40" i="24"/>
  <c r="Q40" i="24"/>
  <c r="F40" i="24"/>
  <c r="I24" i="24"/>
  <c r="I40" i="24" s="1"/>
  <c r="I41" i="24" s="1"/>
  <c r="M40" i="24"/>
  <c r="D39" i="24"/>
  <c r="V40" i="24"/>
  <c r="J40" i="24"/>
  <c r="AA39" i="24"/>
  <c r="AB39" i="24" s="1"/>
  <c r="G15" i="23"/>
  <c r="I15" i="23" s="1"/>
  <c r="M15" i="23"/>
  <c r="O15" i="23"/>
  <c r="S15" i="23"/>
  <c r="U15" i="23" s="1"/>
  <c r="Y15" i="23"/>
  <c r="AA15" i="23"/>
  <c r="G16" i="23"/>
  <c r="I16" i="23"/>
  <c r="M16" i="23"/>
  <c r="O16" i="23" s="1"/>
  <c r="S16" i="23"/>
  <c r="U16" i="23"/>
  <c r="Y16" i="23"/>
  <c r="AA16" i="23" s="1"/>
  <c r="AB16" i="23" s="1"/>
  <c r="G17" i="23"/>
  <c r="I17" i="23"/>
  <c r="M17" i="23"/>
  <c r="O17" i="23" s="1"/>
  <c r="S17" i="23"/>
  <c r="U17" i="23" s="1"/>
  <c r="Y17" i="23"/>
  <c r="AA17" i="23" s="1"/>
  <c r="G18" i="23"/>
  <c r="I18" i="23" s="1"/>
  <c r="M18" i="23"/>
  <c r="O18" i="23" s="1"/>
  <c r="S18" i="23"/>
  <c r="U18" i="23" s="1"/>
  <c r="Y18" i="23"/>
  <c r="AA18" i="23"/>
  <c r="G19" i="23"/>
  <c r="I19" i="23" s="1"/>
  <c r="M19" i="23"/>
  <c r="O19" i="23"/>
  <c r="S19" i="23"/>
  <c r="U19" i="23" s="1"/>
  <c r="Y19" i="23"/>
  <c r="AA19" i="23"/>
  <c r="G20" i="23"/>
  <c r="I20" i="23" s="1"/>
  <c r="M20" i="23"/>
  <c r="O20" i="23" s="1"/>
  <c r="S20" i="23"/>
  <c r="U20" i="23"/>
  <c r="Y20" i="23"/>
  <c r="AA20" i="23" s="1"/>
  <c r="G21" i="23"/>
  <c r="I21" i="23"/>
  <c r="M21" i="23"/>
  <c r="O21" i="23" s="1"/>
  <c r="S21" i="23"/>
  <c r="U21" i="23" s="1"/>
  <c r="Y21" i="23"/>
  <c r="AA21" i="23" s="1"/>
  <c r="G22" i="23"/>
  <c r="I22" i="23" s="1"/>
  <c r="M22" i="23"/>
  <c r="O22" i="23" s="1"/>
  <c r="S22" i="23"/>
  <c r="U22" i="23" s="1"/>
  <c r="Y22" i="23"/>
  <c r="AA22" i="23"/>
  <c r="G23" i="23"/>
  <c r="I23" i="23" s="1"/>
  <c r="M23" i="23"/>
  <c r="O23" i="23"/>
  <c r="S23" i="23"/>
  <c r="U23" i="23" s="1"/>
  <c r="Y23" i="23"/>
  <c r="AA23" i="23"/>
  <c r="D24" i="23"/>
  <c r="D40" i="23" s="1"/>
  <c r="E24" i="23"/>
  <c r="F24" i="23"/>
  <c r="H24" i="23"/>
  <c r="J24" i="23"/>
  <c r="J40" i="23" s="1"/>
  <c r="K24" i="23"/>
  <c r="L24" i="23"/>
  <c r="N24" i="23"/>
  <c r="P24" i="23"/>
  <c r="P40" i="23" s="1"/>
  <c r="Q24" i="23"/>
  <c r="R24" i="23"/>
  <c r="T24" i="23"/>
  <c r="V24" i="23"/>
  <c r="V40" i="23" s="1"/>
  <c r="W24" i="23"/>
  <c r="X24" i="23"/>
  <c r="X40" i="23" s="1"/>
  <c r="Z24" i="23"/>
  <c r="G28" i="23"/>
  <c r="I28" i="23" s="1"/>
  <c r="M28" i="23"/>
  <c r="O28" i="23" s="1"/>
  <c r="S28" i="23"/>
  <c r="U28" i="23"/>
  <c r="Y28" i="23"/>
  <c r="AA28" i="23" s="1"/>
  <c r="G29" i="23"/>
  <c r="I29" i="23" s="1"/>
  <c r="M29" i="23"/>
  <c r="O29" i="23"/>
  <c r="S29" i="23"/>
  <c r="U29" i="23" s="1"/>
  <c r="Y29" i="23"/>
  <c r="AA29" i="23"/>
  <c r="AB29" i="23"/>
  <c r="G30" i="23"/>
  <c r="I30" i="23" s="1"/>
  <c r="M30" i="23"/>
  <c r="O30" i="23"/>
  <c r="S30" i="23"/>
  <c r="U30" i="23" s="1"/>
  <c r="Y30" i="23"/>
  <c r="AA30" i="23"/>
  <c r="G31" i="23"/>
  <c r="I31" i="23"/>
  <c r="M31" i="23"/>
  <c r="O31" i="23" s="1"/>
  <c r="S31" i="23"/>
  <c r="U31" i="23"/>
  <c r="Y31" i="23"/>
  <c r="AA31" i="23" s="1"/>
  <c r="G32" i="23"/>
  <c r="I32" i="23"/>
  <c r="M32" i="23"/>
  <c r="O32" i="23" s="1"/>
  <c r="S32" i="23"/>
  <c r="U32" i="23" s="1"/>
  <c r="Y32" i="23"/>
  <c r="AA32" i="23" s="1"/>
  <c r="G33" i="23"/>
  <c r="I33" i="23" s="1"/>
  <c r="M33" i="23"/>
  <c r="O33" i="23" s="1"/>
  <c r="S33" i="23"/>
  <c r="U33" i="23" s="1"/>
  <c r="Y33" i="23"/>
  <c r="AA33" i="23"/>
  <c r="G34" i="23"/>
  <c r="I34" i="23" s="1"/>
  <c r="M34" i="23"/>
  <c r="O34" i="23"/>
  <c r="S34" i="23"/>
  <c r="U34" i="23" s="1"/>
  <c r="Y34" i="23"/>
  <c r="AA34" i="23"/>
  <c r="G35" i="23"/>
  <c r="I35" i="23" s="1"/>
  <c r="M35" i="23"/>
  <c r="O35" i="23" s="1"/>
  <c r="S35" i="23"/>
  <c r="U35" i="23"/>
  <c r="Y35" i="23"/>
  <c r="AA35" i="23" s="1"/>
  <c r="G36" i="23"/>
  <c r="I36" i="23"/>
  <c r="M36" i="23"/>
  <c r="O36" i="23" s="1"/>
  <c r="S36" i="23"/>
  <c r="U36" i="23"/>
  <c r="Y36" i="23"/>
  <c r="AA36" i="23" s="1"/>
  <c r="G37" i="23"/>
  <c r="I37" i="23" s="1"/>
  <c r="M37" i="23"/>
  <c r="O37" i="23"/>
  <c r="S37" i="23"/>
  <c r="U37" i="23" s="1"/>
  <c r="Y37" i="23"/>
  <c r="AA37" i="23" s="1"/>
  <c r="AB37" i="23" s="1"/>
  <c r="G38" i="23"/>
  <c r="I38" i="23" s="1"/>
  <c r="M38" i="23"/>
  <c r="O38" i="23" s="1"/>
  <c r="S38" i="23"/>
  <c r="U38" i="23" s="1"/>
  <c r="Y38" i="23"/>
  <c r="AA38" i="23"/>
  <c r="D39" i="23"/>
  <c r="E39" i="23"/>
  <c r="F39" i="23"/>
  <c r="H39" i="23"/>
  <c r="H40" i="23" s="1"/>
  <c r="J39" i="23"/>
  <c r="K39" i="23"/>
  <c r="L39" i="23"/>
  <c r="N39" i="23"/>
  <c r="P39" i="23"/>
  <c r="Q39" i="23"/>
  <c r="R39" i="23"/>
  <c r="T39" i="23"/>
  <c r="T40" i="23" s="1"/>
  <c r="V39" i="23"/>
  <c r="W39" i="23"/>
  <c r="X39" i="23"/>
  <c r="Z39" i="23"/>
  <c r="E40" i="23"/>
  <c r="L40" i="23"/>
  <c r="Q40" i="23"/>
  <c r="W40" i="23"/>
  <c r="D50" i="23"/>
  <c r="G50" i="23" s="1"/>
  <c r="E50" i="23"/>
  <c r="F50" i="23"/>
  <c r="J50" i="23"/>
  <c r="M50" i="23" s="1"/>
  <c r="K50" i="23"/>
  <c r="L50" i="23"/>
  <c r="P50" i="23"/>
  <c r="S50" i="23" s="1"/>
  <c r="Q50" i="23"/>
  <c r="R50" i="23"/>
  <c r="V50" i="23"/>
  <c r="W50" i="23"/>
  <c r="X50" i="23"/>
  <c r="G51" i="23"/>
  <c r="M51" i="23"/>
  <c r="S51" i="23"/>
  <c r="Y51" i="23"/>
  <c r="S52" i="23"/>
  <c r="Y52" i="23"/>
  <c r="S53" i="23"/>
  <c r="Y53" i="23"/>
  <c r="G54" i="23"/>
  <c r="M54" i="23"/>
  <c r="S54" i="23"/>
  <c r="Y54" i="23"/>
  <c r="G55" i="23"/>
  <c r="M55" i="23"/>
  <c r="S55" i="23"/>
  <c r="Y55" i="23"/>
  <c r="G56" i="23"/>
  <c r="M56" i="23"/>
  <c r="S56" i="23"/>
  <c r="Y56" i="23"/>
  <c r="AB40" i="25" l="1"/>
  <c r="AA41" i="25"/>
  <c r="AB41" i="25" s="1"/>
  <c r="S39" i="25"/>
  <c r="S40" i="25" s="1"/>
  <c r="Q40" i="25"/>
  <c r="S39" i="24"/>
  <c r="S40" i="24" s="1"/>
  <c r="P40" i="24"/>
  <c r="G39" i="24"/>
  <c r="G40" i="24" s="1"/>
  <c r="D40" i="24"/>
  <c r="AB24" i="24"/>
  <c r="AA40" i="24"/>
  <c r="AB33" i="23"/>
  <c r="AB22" i="23"/>
  <c r="AB18" i="23"/>
  <c r="Y50" i="23"/>
  <c r="AB38" i="23"/>
  <c r="AB36" i="23"/>
  <c r="AB34" i="23"/>
  <c r="Z40" i="23"/>
  <c r="N40" i="23"/>
  <c r="AB23" i="23"/>
  <c r="U24" i="23"/>
  <c r="S39" i="23"/>
  <c r="S40" i="23" s="1"/>
  <c r="G39" i="23"/>
  <c r="AB30" i="23"/>
  <c r="R40" i="23"/>
  <c r="F40" i="23"/>
  <c r="AB19" i="23"/>
  <c r="Y39" i="23"/>
  <c r="M39" i="23"/>
  <c r="AB28" i="23"/>
  <c r="S24" i="23"/>
  <c r="K40" i="23"/>
  <c r="G24" i="23"/>
  <c r="AB15" i="23"/>
  <c r="AB20" i="23"/>
  <c r="U39" i="23"/>
  <c r="O39" i="23"/>
  <c r="AB32" i="23"/>
  <c r="AB21" i="23"/>
  <c r="O24" i="23"/>
  <c r="I39" i="23"/>
  <c r="AA39" i="23"/>
  <c r="AB39" i="23" s="1"/>
  <c r="AB35" i="23"/>
  <c r="G40" i="23"/>
  <c r="AB17" i="23"/>
  <c r="AB31" i="23"/>
  <c r="I24" i="23"/>
  <c r="Y24" i="23"/>
  <c r="Y40" i="23" s="1"/>
  <c r="M24" i="23"/>
  <c r="M40" i="23" s="1"/>
  <c r="AA24" i="23"/>
  <c r="G15" i="22"/>
  <c r="I15" i="22"/>
  <c r="M15" i="22"/>
  <c r="O15" i="22"/>
  <c r="O24" i="22" s="1"/>
  <c r="S15" i="22"/>
  <c r="U15" i="22"/>
  <c r="Y15" i="22"/>
  <c r="AA15" i="22"/>
  <c r="AB15" i="22" s="1"/>
  <c r="G16" i="22"/>
  <c r="I16" i="22"/>
  <c r="M16" i="22"/>
  <c r="O16" i="22" s="1"/>
  <c r="S16" i="22"/>
  <c r="U16" i="22"/>
  <c r="Y16" i="22"/>
  <c r="AA16" i="22" s="1"/>
  <c r="AB16" i="22" s="1"/>
  <c r="G17" i="22"/>
  <c r="I17" i="22"/>
  <c r="M17" i="22"/>
  <c r="O17" i="22"/>
  <c r="S17" i="22"/>
  <c r="U17" i="22"/>
  <c r="U24" i="22" s="1"/>
  <c r="Y17" i="22"/>
  <c r="AA17" i="22"/>
  <c r="AB17" i="22"/>
  <c r="G18" i="22"/>
  <c r="I18" i="22" s="1"/>
  <c r="M18" i="22"/>
  <c r="O18" i="22"/>
  <c r="S18" i="22"/>
  <c r="U18" i="22" s="1"/>
  <c r="Y18" i="22"/>
  <c r="AA18" i="22"/>
  <c r="AB18" i="22"/>
  <c r="G19" i="22"/>
  <c r="I19" i="22"/>
  <c r="M19" i="22"/>
  <c r="O19" i="22"/>
  <c r="S19" i="22"/>
  <c r="U19" i="22"/>
  <c r="Y19" i="22"/>
  <c r="AA19" i="22"/>
  <c r="AB19" i="22" s="1"/>
  <c r="G20" i="22"/>
  <c r="I20" i="22"/>
  <c r="M20" i="22"/>
  <c r="O20" i="22" s="1"/>
  <c r="S20" i="22"/>
  <c r="U20" i="22"/>
  <c r="Y20" i="22"/>
  <c r="AA20" i="22" s="1"/>
  <c r="AB20" i="22" s="1"/>
  <c r="G21" i="22"/>
  <c r="I21" i="22"/>
  <c r="M21" i="22"/>
  <c r="O21" i="22"/>
  <c r="S21" i="22"/>
  <c r="U21" i="22"/>
  <c r="Y21" i="22"/>
  <c r="AA21" i="22"/>
  <c r="AB21" i="22"/>
  <c r="G22" i="22"/>
  <c r="I22" i="22" s="1"/>
  <c r="M22" i="22"/>
  <c r="O22" i="22"/>
  <c r="S22" i="22"/>
  <c r="U22" i="22" s="1"/>
  <c r="Y22" i="22"/>
  <c r="AA22" i="22"/>
  <c r="AB22" i="22"/>
  <c r="G23" i="22"/>
  <c r="I23" i="22"/>
  <c r="M23" i="22"/>
  <c r="O23" i="22"/>
  <c r="S23" i="22"/>
  <c r="U23" i="22"/>
  <c r="Y23" i="22"/>
  <c r="AA23" i="22"/>
  <c r="AB23" i="22" s="1"/>
  <c r="D24" i="22"/>
  <c r="G24" i="22" s="1"/>
  <c r="E24" i="22"/>
  <c r="F24" i="22"/>
  <c r="F40" i="22" s="1"/>
  <c r="H24" i="22"/>
  <c r="J24" i="22"/>
  <c r="J40" i="22" s="1"/>
  <c r="K24" i="22"/>
  <c r="L24" i="22"/>
  <c r="N24" i="22"/>
  <c r="N40" i="22" s="1"/>
  <c r="P24" i="22"/>
  <c r="S24" i="22" s="1"/>
  <c r="Q24" i="22"/>
  <c r="R24" i="22"/>
  <c r="R40" i="22" s="1"/>
  <c r="T24" i="22"/>
  <c r="V24" i="22"/>
  <c r="V40" i="22" s="1"/>
  <c r="W24" i="22"/>
  <c r="X24" i="22"/>
  <c r="Z24" i="22"/>
  <c r="Z40" i="22" s="1"/>
  <c r="G28" i="22"/>
  <c r="I28" i="22"/>
  <c r="M28" i="22"/>
  <c r="O28" i="22" s="1"/>
  <c r="S28" i="22"/>
  <c r="U28" i="22"/>
  <c r="Y28" i="22"/>
  <c r="AA28" i="22" s="1"/>
  <c r="AB28" i="22" s="1"/>
  <c r="G29" i="22"/>
  <c r="I29" i="22" s="1"/>
  <c r="M29" i="22"/>
  <c r="O29" i="22"/>
  <c r="S29" i="22"/>
  <c r="U29" i="22" s="1"/>
  <c r="Y29" i="22"/>
  <c r="AA29" i="22"/>
  <c r="AB29" i="22"/>
  <c r="G30" i="22"/>
  <c r="I30" i="22" s="1"/>
  <c r="M30" i="22"/>
  <c r="O30" i="22"/>
  <c r="S30" i="22"/>
  <c r="U30" i="22" s="1"/>
  <c r="Y30" i="22"/>
  <c r="AA30" i="22"/>
  <c r="AB30" i="22" s="1"/>
  <c r="G31" i="22"/>
  <c r="I31" i="22"/>
  <c r="M31" i="22"/>
  <c r="O31" i="22" s="1"/>
  <c r="S31" i="22"/>
  <c r="U31" i="22"/>
  <c r="Y31" i="22"/>
  <c r="AA31" i="22" s="1"/>
  <c r="AB31" i="22" s="1"/>
  <c r="G32" i="22"/>
  <c r="I32" i="22"/>
  <c r="M32" i="22"/>
  <c r="O32" i="22" s="1"/>
  <c r="S32" i="22"/>
  <c r="U32" i="22"/>
  <c r="Y32" i="22"/>
  <c r="AA32" i="22" s="1"/>
  <c r="G33" i="22"/>
  <c r="I33" i="22" s="1"/>
  <c r="M33" i="22"/>
  <c r="O33" i="22"/>
  <c r="S33" i="22"/>
  <c r="U33" i="22" s="1"/>
  <c r="Y33" i="22"/>
  <c r="AA33" i="22"/>
  <c r="AB33" i="22"/>
  <c r="G34" i="22"/>
  <c r="I34" i="22" s="1"/>
  <c r="M34" i="22"/>
  <c r="O34" i="22"/>
  <c r="S34" i="22"/>
  <c r="U34" i="22"/>
  <c r="Y34" i="22"/>
  <c r="AA34" i="22"/>
  <c r="AB34" i="22" s="1"/>
  <c r="G35" i="22"/>
  <c r="I35" i="22"/>
  <c r="M35" i="22"/>
  <c r="O35" i="22" s="1"/>
  <c r="O39" i="22" s="1"/>
  <c r="S35" i="22"/>
  <c r="U35" i="22"/>
  <c r="Y35" i="22"/>
  <c r="AA35" i="22" s="1"/>
  <c r="G36" i="22"/>
  <c r="I36" i="22"/>
  <c r="M36" i="22"/>
  <c r="O36" i="22"/>
  <c r="S36" i="22"/>
  <c r="U36" i="22"/>
  <c r="Y36" i="22"/>
  <c r="AA36" i="22"/>
  <c r="AB36" i="22"/>
  <c r="G37" i="22"/>
  <c r="I37" i="22" s="1"/>
  <c r="M37" i="22"/>
  <c r="O37" i="22"/>
  <c r="S37" i="22"/>
  <c r="U37" i="22" s="1"/>
  <c r="Y37" i="22"/>
  <c r="AA37" i="22"/>
  <c r="AB37" i="22"/>
  <c r="G38" i="22"/>
  <c r="I38" i="22"/>
  <c r="M38" i="22"/>
  <c r="O38" i="22"/>
  <c r="S38" i="22"/>
  <c r="U38" i="22"/>
  <c r="Y38" i="22"/>
  <c r="AA38" i="22"/>
  <c r="AB38" i="22" s="1"/>
  <c r="D39" i="22"/>
  <c r="G39" i="22" s="1"/>
  <c r="E39" i="22"/>
  <c r="F39" i="22"/>
  <c r="H39" i="22"/>
  <c r="J39" i="22"/>
  <c r="M39" i="22" s="1"/>
  <c r="K39" i="22"/>
  <c r="L39" i="22"/>
  <c r="N39" i="22"/>
  <c r="P39" i="22"/>
  <c r="S39" i="22" s="1"/>
  <c r="Q39" i="22"/>
  <c r="R39" i="22"/>
  <c r="T39" i="22"/>
  <c r="V39" i="22"/>
  <c r="Y39" i="22" s="1"/>
  <c r="W39" i="22"/>
  <c r="X39" i="22"/>
  <c r="Z39" i="22"/>
  <c r="D40" i="22"/>
  <c r="E40" i="22"/>
  <c r="H40" i="22"/>
  <c r="K40" i="22"/>
  <c r="L40" i="22"/>
  <c r="P40" i="22"/>
  <c r="Q40" i="22"/>
  <c r="T40" i="22"/>
  <c r="W40" i="22"/>
  <c r="X40" i="22"/>
  <c r="D50" i="22"/>
  <c r="E50" i="22"/>
  <c r="F50" i="22"/>
  <c r="G50" i="22"/>
  <c r="K50" i="22"/>
  <c r="L50" i="22"/>
  <c r="P50" i="22"/>
  <c r="Q50" i="22"/>
  <c r="R50" i="22"/>
  <c r="S50" i="22"/>
  <c r="V50" i="22"/>
  <c r="W50" i="22"/>
  <c r="X50" i="22"/>
  <c r="Y50" i="22"/>
  <c r="G51" i="22"/>
  <c r="J51" i="22" s="1"/>
  <c r="S51" i="22"/>
  <c r="Y51" i="22"/>
  <c r="G52" i="22"/>
  <c r="J52" i="22"/>
  <c r="M52" i="22"/>
  <c r="S52" i="22"/>
  <c r="Y52" i="22"/>
  <c r="G53" i="22"/>
  <c r="J53" i="22"/>
  <c r="M53" i="22" s="1"/>
  <c r="S53" i="22"/>
  <c r="Y53" i="22"/>
  <c r="G54" i="22"/>
  <c r="J54" i="22" s="1"/>
  <c r="M54" i="22" s="1"/>
  <c r="S54" i="22"/>
  <c r="Y54" i="22"/>
  <c r="AA41" i="24" l="1"/>
  <c r="AB41" i="24" s="1"/>
  <c r="AB40" i="24"/>
  <c r="I40" i="23"/>
  <c r="I41" i="23" s="1"/>
  <c r="U40" i="23"/>
  <c r="U41" i="23" s="1"/>
  <c r="O40" i="23"/>
  <c r="O41" i="23" s="1"/>
  <c r="AA40" i="23"/>
  <c r="AB24" i="23"/>
  <c r="J50" i="22"/>
  <c r="M50" i="22" s="1"/>
  <c r="M51" i="22"/>
  <c r="I24" i="22"/>
  <c r="I40" i="22" s="1"/>
  <c r="I41" i="22" s="1"/>
  <c r="AA39" i="22"/>
  <c r="AB39" i="22" s="1"/>
  <c r="AB35" i="22"/>
  <c r="AB32" i="22"/>
  <c r="O40" i="22"/>
  <c r="O41" i="22" s="1"/>
  <c r="U39" i="22"/>
  <c r="U40" i="22" s="1"/>
  <c r="U41" i="22" s="1"/>
  <c r="I39" i="22"/>
  <c r="S40" i="22"/>
  <c r="G40" i="22"/>
  <c r="M24" i="22"/>
  <c r="M40" i="22" s="1"/>
  <c r="Y24" i="22"/>
  <c r="Y40" i="22" s="1"/>
  <c r="AA24" i="22"/>
  <c r="G15" i="21"/>
  <c r="I15" i="21" s="1"/>
  <c r="I24" i="21" s="1"/>
  <c r="M15" i="21"/>
  <c r="O15" i="21"/>
  <c r="S15" i="21"/>
  <c r="U15" i="21" s="1"/>
  <c r="U24" i="21" s="1"/>
  <c r="Y15" i="21"/>
  <c r="AA15" i="21"/>
  <c r="AB15" i="21" s="1"/>
  <c r="G16" i="21"/>
  <c r="I16" i="21"/>
  <c r="M16" i="21"/>
  <c r="O16" i="21" s="1"/>
  <c r="S16" i="21"/>
  <c r="U16" i="21"/>
  <c r="Y16" i="21"/>
  <c r="AA16" i="21" s="1"/>
  <c r="G17" i="21"/>
  <c r="I17" i="21"/>
  <c r="M17" i="21"/>
  <c r="O17" i="21" s="1"/>
  <c r="AB17" i="21" s="1"/>
  <c r="S17" i="21"/>
  <c r="U17" i="21"/>
  <c r="Y17" i="21"/>
  <c r="AA17" i="21"/>
  <c r="G18" i="21"/>
  <c r="I18" i="21" s="1"/>
  <c r="M18" i="21"/>
  <c r="O18" i="21"/>
  <c r="S18" i="21"/>
  <c r="U18" i="21" s="1"/>
  <c r="Y18" i="21"/>
  <c r="AA18" i="21"/>
  <c r="AB18" i="21"/>
  <c r="G19" i="21"/>
  <c r="I19" i="21"/>
  <c r="M19" i="21"/>
  <c r="O19" i="21"/>
  <c r="S19" i="21"/>
  <c r="U19" i="21" s="1"/>
  <c r="Y19" i="21"/>
  <c r="AA19" i="21"/>
  <c r="AB19" i="21" s="1"/>
  <c r="G20" i="21"/>
  <c r="I20" i="21"/>
  <c r="M20" i="21"/>
  <c r="O20" i="21" s="1"/>
  <c r="S20" i="21"/>
  <c r="U20" i="21"/>
  <c r="Y20" i="21"/>
  <c r="AA20" i="21" s="1"/>
  <c r="G21" i="21"/>
  <c r="I21" i="21"/>
  <c r="M21" i="21"/>
  <c r="O21" i="21"/>
  <c r="S21" i="21"/>
  <c r="U21" i="21"/>
  <c r="Y21" i="21"/>
  <c r="AA21" i="21"/>
  <c r="AB21" i="21"/>
  <c r="G22" i="21"/>
  <c r="I22" i="21" s="1"/>
  <c r="M22" i="21"/>
  <c r="O22" i="21"/>
  <c r="S22" i="21"/>
  <c r="U22" i="21" s="1"/>
  <c r="Y22" i="21"/>
  <c r="AA22" i="21"/>
  <c r="AB22" i="21"/>
  <c r="G23" i="21"/>
  <c r="I23" i="21"/>
  <c r="M23" i="21"/>
  <c r="O23" i="21"/>
  <c r="S23" i="21"/>
  <c r="U23" i="21" s="1"/>
  <c r="Y23" i="21"/>
  <c r="AA23" i="21"/>
  <c r="AB23" i="21" s="1"/>
  <c r="D24" i="21"/>
  <c r="E24" i="21"/>
  <c r="G24" i="21" s="1"/>
  <c r="G40" i="21" s="1"/>
  <c r="F24" i="21"/>
  <c r="F40" i="21" s="1"/>
  <c r="H24" i="21"/>
  <c r="J24" i="21"/>
  <c r="J40" i="21" s="1"/>
  <c r="K24" i="21"/>
  <c r="L24" i="21"/>
  <c r="N24" i="21"/>
  <c r="N40" i="21" s="1"/>
  <c r="P24" i="21"/>
  <c r="Q24" i="21"/>
  <c r="S24" i="21" s="1"/>
  <c r="S40" i="21" s="1"/>
  <c r="R24" i="21"/>
  <c r="R40" i="21" s="1"/>
  <c r="T24" i="21"/>
  <c r="V24" i="21"/>
  <c r="V40" i="21" s="1"/>
  <c r="W24" i="21"/>
  <c r="X24" i="21"/>
  <c r="Z24" i="21"/>
  <c r="Z40" i="21" s="1"/>
  <c r="G28" i="21"/>
  <c r="I28" i="21"/>
  <c r="M28" i="21"/>
  <c r="O28" i="21" s="1"/>
  <c r="S28" i="21"/>
  <c r="U28" i="21"/>
  <c r="Y28" i="21"/>
  <c r="AA28" i="21" s="1"/>
  <c r="G29" i="21"/>
  <c r="I29" i="21" s="1"/>
  <c r="M29" i="21"/>
  <c r="O29" i="21"/>
  <c r="S29" i="21"/>
  <c r="U29" i="21" s="1"/>
  <c r="Y29" i="21"/>
  <c r="AA29" i="21"/>
  <c r="AB29" i="21"/>
  <c r="G30" i="21"/>
  <c r="I30" i="21" s="1"/>
  <c r="M30" i="21"/>
  <c r="O30" i="21"/>
  <c r="S30" i="21"/>
  <c r="U30" i="21" s="1"/>
  <c r="Y30" i="21"/>
  <c r="AA30" i="21"/>
  <c r="AB30" i="21" s="1"/>
  <c r="G31" i="21"/>
  <c r="I31" i="21"/>
  <c r="M31" i="21"/>
  <c r="O31" i="21" s="1"/>
  <c r="S31" i="21"/>
  <c r="U31" i="21"/>
  <c r="Y31" i="21"/>
  <c r="AA31" i="21" s="1"/>
  <c r="G32" i="21"/>
  <c r="I32" i="21"/>
  <c r="M32" i="21"/>
  <c r="O32" i="21" s="1"/>
  <c r="AB32" i="21" s="1"/>
  <c r="S32" i="21"/>
  <c r="U32" i="21"/>
  <c r="Y32" i="21"/>
  <c r="AA32" i="21"/>
  <c r="G33" i="21"/>
  <c r="I33" i="21" s="1"/>
  <c r="M33" i="21"/>
  <c r="O33" i="21"/>
  <c r="S33" i="21"/>
  <c r="U33" i="21" s="1"/>
  <c r="Y33" i="21"/>
  <c r="AA33" i="21"/>
  <c r="AB33" i="21"/>
  <c r="G34" i="21"/>
  <c r="I34" i="21" s="1"/>
  <c r="M34" i="21"/>
  <c r="O34" i="21"/>
  <c r="S34" i="21"/>
  <c r="U34" i="21"/>
  <c r="Y34" i="21"/>
  <c r="AA34" i="21"/>
  <c r="AB34" i="21" s="1"/>
  <c r="G35" i="21"/>
  <c r="I35" i="21"/>
  <c r="M35" i="21"/>
  <c r="O35" i="21" s="1"/>
  <c r="S35" i="21"/>
  <c r="U35" i="21"/>
  <c r="Y35" i="21"/>
  <c r="AA35" i="21" s="1"/>
  <c r="G36" i="21"/>
  <c r="I36" i="21"/>
  <c r="M36" i="21"/>
  <c r="O36" i="21"/>
  <c r="S36" i="21"/>
  <c r="U36" i="21"/>
  <c r="U39" i="21" s="1"/>
  <c r="Y36" i="21"/>
  <c r="AA36" i="21"/>
  <c r="AB36" i="21"/>
  <c r="G37" i="21"/>
  <c r="I37" i="21" s="1"/>
  <c r="M37" i="21"/>
  <c r="O37" i="21"/>
  <c r="S37" i="21"/>
  <c r="U37" i="21" s="1"/>
  <c r="Y37" i="21"/>
  <c r="AA37" i="21"/>
  <c r="AB37" i="21"/>
  <c r="G38" i="21"/>
  <c r="I38" i="21"/>
  <c r="M38" i="21"/>
  <c r="O38" i="21"/>
  <c r="S38" i="21"/>
  <c r="U38" i="21"/>
  <c r="Y38" i="21"/>
  <c r="AA38" i="21"/>
  <c r="AB38" i="21" s="1"/>
  <c r="D39" i="21"/>
  <c r="G39" i="21" s="1"/>
  <c r="E39" i="21"/>
  <c r="F39" i="21"/>
  <c r="H39" i="21"/>
  <c r="J39" i="21"/>
  <c r="M39" i="21" s="1"/>
  <c r="K39" i="21"/>
  <c r="L39" i="21"/>
  <c r="N39" i="21"/>
  <c r="P39" i="21"/>
  <c r="S39" i="21" s="1"/>
  <c r="Q39" i="21"/>
  <c r="R39" i="21"/>
  <c r="T39" i="21"/>
  <c r="V39" i="21"/>
  <c r="Y39" i="21" s="1"/>
  <c r="W39" i="21"/>
  <c r="X39" i="21"/>
  <c r="Z39" i="21"/>
  <c r="D40" i="21"/>
  <c r="E40" i="21"/>
  <c r="H40" i="21"/>
  <c r="K40" i="21"/>
  <c r="L40" i="21"/>
  <c r="P40" i="21"/>
  <c r="Q40" i="21"/>
  <c r="T40" i="21"/>
  <c r="W40" i="21"/>
  <c r="X40" i="21"/>
  <c r="G50" i="21"/>
  <c r="M50" i="21"/>
  <c r="S50" i="21"/>
  <c r="Y50" i="21"/>
  <c r="G51" i="21"/>
  <c r="M51" i="21"/>
  <c r="S51" i="21"/>
  <c r="Y51" i="21"/>
  <c r="G52" i="21"/>
  <c r="M52" i="21"/>
  <c r="S52" i="21"/>
  <c r="Y52" i="21"/>
  <c r="G53" i="21"/>
  <c r="M53" i="21"/>
  <c r="S53" i="21"/>
  <c r="Y53" i="21"/>
  <c r="G54" i="21"/>
  <c r="M54" i="21"/>
  <c r="S54" i="21"/>
  <c r="Y54" i="21"/>
  <c r="AB40" i="23" l="1"/>
  <c r="AA41" i="23"/>
  <c r="AB41" i="23" s="1"/>
  <c r="AB24" i="22"/>
  <c r="AA40" i="22"/>
  <c r="I39" i="21"/>
  <c r="AB28" i="21"/>
  <c r="AB16" i="21"/>
  <c r="O39" i="21"/>
  <c r="AB31" i="21"/>
  <c r="AB20" i="21"/>
  <c r="O24" i="21"/>
  <c r="U40" i="21"/>
  <c r="U41" i="21" s="1"/>
  <c r="AA39" i="21"/>
  <c r="AB35" i="21"/>
  <c r="I40" i="21"/>
  <c r="I41" i="21" s="1"/>
  <c r="Y24" i="21"/>
  <c r="Y40" i="21" s="1"/>
  <c r="M24" i="21"/>
  <c r="M40" i="21" s="1"/>
  <c r="AA24" i="21"/>
  <c r="I15" i="20"/>
  <c r="M15" i="20"/>
  <c r="O15" i="20" s="1"/>
  <c r="U15" i="20"/>
  <c r="Y15" i="20"/>
  <c r="AA15" i="20" s="1"/>
  <c r="G16" i="20"/>
  <c r="I16" i="20" s="1"/>
  <c r="M16" i="20"/>
  <c r="O16" i="20" s="1"/>
  <c r="S16" i="20"/>
  <c r="U16" i="20" s="1"/>
  <c r="Y16" i="20"/>
  <c r="AA16" i="20" s="1"/>
  <c r="AB16" i="20" s="1"/>
  <c r="G17" i="20"/>
  <c r="I17" i="20" s="1"/>
  <c r="M17" i="20"/>
  <c r="O17" i="20"/>
  <c r="S17" i="20"/>
  <c r="U17" i="20" s="1"/>
  <c r="Y17" i="20"/>
  <c r="AA17" i="20"/>
  <c r="G18" i="20"/>
  <c r="I18" i="20" s="1"/>
  <c r="M18" i="20"/>
  <c r="O18" i="20" s="1"/>
  <c r="S18" i="20"/>
  <c r="U18" i="20" s="1"/>
  <c r="Y18" i="20"/>
  <c r="AA18" i="20" s="1"/>
  <c r="I19" i="20"/>
  <c r="M19" i="20"/>
  <c r="O19" i="20" s="1"/>
  <c r="S19" i="20"/>
  <c r="U19" i="20" s="1"/>
  <c r="Y19" i="20"/>
  <c r="AA19" i="20" s="1"/>
  <c r="I20" i="20"/>
  <c r="M20" i="20"/>
  <c r="O20" i="20" s="1"/>
  <c r="S20" i="20"/>
  <c r="U20" i="20" s="1"/>
  <c r="Y20" i="20"/>
  <c r="AA20" i="20" s="1"/>
  <c r="I21" i="20"/>
  <c r="M21" i="20"/>
  <c r="O21" i="20" s="1"/>
  <c r="U21" i="20"/>
  <c r="Y21" i="20"/>
  <c r="AA21" i="20"/>
  <c r="G22" i="20"/>
  <c r="I22" i="20" s="1"/>
  <c r="M22" i="20"/>
  <c r="O22" i="20" s="1"/>
  <c r="S22" i="20"/>
  <c r="U22" i="20" s="1"/>
  <c r="Y22" i="20"/>
  <c r="AA22" i="20" s="1"/>
  <c r="AB22" i="20" s="1"/>
  <c r="G23" i="20"/>
  <c r="I23" i="20" s="1"/>
  <c r="M23" i="20"/>
  <c r="O23" i="20"/>
  <c r="S23" i="20"/>
  <c r="U23" i="20" s="1"/>
  <c r="Y23" i="20"/>
  <c r="AA23" i="20"/>
  <c r="AB23" i="20" s="1"/>
  <c r="D24" i="20"/>
  <c r="D40" i="20" s="1"/>
  <c r="E24" i="20"/>
  <c r="F24" i="20"/>
  <c r="H24" i="20"/>
  <c r="H40" i="20" s="1"/>
  <c r="J24" i="20"/>
  <c r="M24" i="20" s="1"/>
  <c r="K24" i="20"/>
  <c r="L24" i="20"/>
  <c r="N24" i="20"/>
  <c r="N40" i="20" s="1"/>
  <c r="P24" i="20"/>
  <c r="P40" i="20" s="1"/>
  <c r="Q24" i="20"/>
  <c r="R24" i="20"/>
  <c r="T24" i="20"/>
  <c r="T40" i="20" s="1"/>
  <c r="V24" i="20"/>
  <c r="Y24" i="20" s="1"/>
  <c r="W24" i="20"/>
  <c r="X24" i="20"/>
  <c r="Z24" i="20"/>
  <c r="G28" i="20"/>
  <c r="I28" i="20" s="1"/>
  <c r="M28" i="20"/>
  <c r="O28" i="20"/>
  <c r="S28" i="20"/>
  <c r="U28" i="20" s="1"/>
  <c r="Y28" i="20"/>
  <c r="AA28" i="20"/>
  <c r="AB28" i="20" s="1"/>
  <c r="G29" i="20"/>
  <c r="I29" i="20" s="1"/>
  <c r="M29" i="20"/>
  <c r="O29" i="20" s="1"/>
  <c r="S29" i="20"/>
  <c r="U29" i="20"/>
  <c r="Y29" i="20"/>
  <c r="AA29" i="20" s="1"/>
  <c r="G30" i="20"/>
  <c r="I30" i="20"/>
  <c r="M30" i="20"/>
  <c r="O30" i="20" s="1"/>
  <c r="S30" i="20"/>
  <c r="U30" i="20"/>
  <c r="Y30" i="20"/>
  <c r="AA30" i="20" s="1"/>
  <c r="AB30" i="20" s="1"/>
  <c r="G31" i="20"/>
  <c r="I31" i="20" s="1"/>
  <c r="M31" i="20"/>
  <c r="O31" i="20" s="1"/>
  <c r="S31" i="20"/>
  <c r="U31" i="20" s="1"/>
  <c r="Y31" i="20"/>
  <c r="AA31" i="20"/>
  <c r="G32" i="20"/>
  <c r="I32" i="20" s="1"/>
  <c r="M32" i="20"/>
  <c r="O32" i="20"/>
  <c r="S32" i="20"/>
  <c r="U32" i="20"/>
  <c r="Y32" i="20"/>
  <c r="AA32" i="20"/>
  <c r="AB32" i="20" s="1"/>
  <c r="G33" i="20"/>
  <c r="I33" i="20"/>
  <c r="M33" i="20"/>
  <c r="O33" i="20" s="1"/>
  <c r="S33" i="20"/>
  <c r="U33" i="20" s="1"/>
  <c r="Y33" i="20"/>
  <c r="AA33" i="20" s="1"/>
  <c r="G34" i="20"/>
  <c r="I34" i="20"/>
  <c r="M34" i="20"/>
  <c r="O34" i="20"/>
  <c r="S34" i="20"/>
  <c r="U34" i="20"/>
  <c r="Y34" i="20"/>
  <c r="AA34" i="20" s="1"/>
  <c r="G35" i="20"/>
  <c r="I35" i="20" s="1"/>
  <c r="M35" i="20"/>
  <c r="O35" i="20" s="1"/>
  <c r="S35" i="20"/>
  <c r="U35" i="20" s="1"/>
  <c r="Y35" i="20"/>
  <c r="AA35" i="20" s="1"/>
  <c r="G36" i="20"/>
  <c r="I36" i="20"/>
  <c r="M36" i="20"/>
  <c r="O36" i="20" s="1"/>
  <c r="S36" i="20"/>
  <c r="U36" i="20"/>
  <c r="Y36" i="20"/>
  <c r="AA36" i="20" s="1"/>
  <c r="AB36" i="20" s="1"/>
  <c r="G37" i="20"/>
  <c r="I37" i="20" s="1"/>
  <c r="M37" i="20"/>
  <c r="O37" i="20" s="1"/>
  <c r="S37" i="20"/>
  <c r="U37" i="20" s="1"/>
  <c r="Y37" i="20"/>
  <c r="AA37" i="20" s="1"/>
  <c r="G38" i="20"/>
  <c r="I38" i="20"/>
  <c r="M38" i="20"/>
  <c r="O38" i="20" s="1"/>
  <c r="S38" i="20"/>
  <c r="U38" i="20"/>
  <c r="Y38" i="20"/>
  <c r="AA38" i="20" s="1"/>
  <c r="AB38" i="20" s="1"/>
  <c r="D39" i="20"/>
  <c r="E39" i="20"/>
  <c r="E40" i="20" s="1"/>
  <c r="F39" i="20"/>
  <c r="F40" i="20" s="1"/>
  <c r="H39" i="20"/>
  <c r="J39" i="20"/>
  <c r="K39" i="20"/>
  <c r="L39" i="20"/>
  <c r="N39" i="20"/>
  <c r="P39" i="20"/>
  <c r="Q39" i="20"/>
  <c r="R39" i="20"/>
  <c r="T39" i="20"/>
  <c r="V39" i="20"/>
  <c r="W39" i="20"/>
  <c r="W40" i="20" s="1"/>
  <c r="X39" i="20"/>
  <c r="Y39" i="20" s="1"/>
  <c r="Z39" i="20"/>
  <c r="J40" i="20"/>
  <c r="Q40" i="20"/>
  <c r="R40" i="20"/>
  <c r="Z40" i="20"/>
  <c r="M50" i="20"/>
  <c r="S50" i="20"/>
  <c r="Y50" i="20"/>
  <c r="G51" i="20"/>
  <c r="M51" i="20"/>
  <c r="S51" i="20"/>
  <c r="Y51" i="20"/>
  <c r="G52" i="20"/>
  <c r="M52" i="20"/>
  <c r="S52" i="20"/>
  <c r="Y52" i="20"/>
  <c r="G53" i="20"/>
  <c r="M53" i="20"/>
  <c r="S53" i="20"/>
  <c r="Y53" i="20"/>
  <c r="G54" i="20"/>
  <c r="M54" i="20"/>
  <c r="S54" i="20"/>
  <c r="Y54" i="20"/>
  <c r="AA41" i="22" l="1"/>
  <c r="AB41" i="22" s="1"/>
  <c r="AB40" i="22"/>
  <c r="O40" i="21"/>
  <c r="O41" i="21" s="1"/>
  <c r="AB24" i="21"/>
  <c r="AA40" i="21"/>
  <c r="AB39" i="21"/>
  <c r="AB31" i="20"/>
  <c r="S39" i="20"/>
  <c r="G39" i="20"/>
  <c r="X40" i="20"/>
  <c r="L40" i="20"/>
  <c r="AB17" i="20"/>
  <c r="M39" i="20"/>
  <c r="M40" i="20" s="1"/>
  <c r="V40" i="20"/>
  <c r="K40" i="20"/>
  <c r="AB34" i="20"/>
  <c r="Y40" i="20"/>
  <c r="AB15" i="20"/>
  <c r="AA24" i="20"/>
  <c r="O39" i="20"/>
  <c r="AB21" i="20"/>
  <c r="AB33" i="20"/>
  <c r="AB20" i="20"/>
  <c r="AB19" i="20"/>
  <c r="AB18" i="20"/>
  <c r="O24" i="20"/>
  <c r="U39" i="20"/>
  <c r="U24" i="20"/>
  <c r="U40" i="20" s="1"/>
  <c r="U41" i="20" s="1"/>
  <c r="I39" i="20"/>
  <c r="AB37" i="20"/>
  <c r="AB35" i="20"/>
  <c r="AA39" i="20"/>
  <c r="AB39" i="20" s="1"/>
  <c r="AB29" i="20"/>
  <c r="I24" i="20"/>
  <c r="S24" i="20"/>
  <c r="S40" i="20" s="1"/>
  <c r="G24" i="20"/>
  <c r="G40" i="20" s="1"/>
  <c r="G15" i="19"/>
  <c r="I15" i="19"/>
  <c r="M15" i="19"/>
  <c r="O15" i="19"/>
  <c r="S15" i="19"/>
  <c r="U15" i="19"/>
  <c r="Y15" i="19"/>
  <c r="AA15" i="19"/>
  <c r="AB15" i="19" s="1"/>
  <c r="G16" i="19"/>
  <c r="I16" i="19" s="1"/>
  <c r="M16" i="19"/>
  <c r="O16" i="19" s="1"/>
  <c r="S16" i="19"/>
  <c r="U16" i="19" s="1"/>
  <c r="Y16" i="19"/>
  <c r="AA16" i="19" s="1"/>
  <c r="G17" i="19"/>
  <c r="I17" i="19"/>
  <c r="M17" i="19"/>
  <c r="O17" i="19"/>
  <c r="S17" i="19"/>
  <c r="U17" i="19"/>
  <c r="Y17" i="19"/>
  <c r="AA17" i="19"/>
  <c r="AB17" i="19" s="1"/>
  <c r="G18" i="19"/>
  <c r="I18" i="19" s="1"/>
  <c r="M18" i="19"/>
  <c r="O18" i="19" s="1"/>
  <c r="S18" i="19"/>
  <c r="U18" i="19" s="1"/>
  <c r="Y18" i="19"/>
  <c r="AA18" i="19" s="1"/>
  <c r="AB18" i="19" s="1"/>
  <c r="G19" i="19"/>
  <c r="I19" i="19"/>
  <c r="M19" i="19"/>
  <c r="O19" i="19"/>
  <c r="S19" i="19"/>
  <c r="U19" i="19"/>
  <c r="Y19" i="19"/>
  <c r="AA19" i="19"/>
  <c r="AB19" i="19" s="1"/>
  <c r="G20" i="19"/>
  <c r="I20" i="19" s="1"/>
  <c r="M20" i="19"/>
  <c r="O20" i="19" s="1"/>
  <c r="S20" i="19"/>
  <c r="U20" i="19" s="1"/>
  <c r="Y20" i="19"/>
  <c r="AA20" i="19" s="1"/>
  <c r="AB20" i="19" s="1"/>
  <c r="G21" i="19"/>
  <c r="I21" i="19"/>
  <c r="M21" i="19"/>
  <c r="O21" i="19"/>
  <c r="U21" i="19"/>
  <c r="Y21" i="19"/>
  <c r="AA21" i="19" s="1"/>
  <c r="G22" i="19"/>
  <c r="I22" i="19"/>
  <c r="M22" i="19"/>
  <c r="O22" i="19"/>
  <c r="S22" i="19"/>
  <c r="U22" i="19"/>
  <c r="Y22" i="19"/>
  <c r="AA22" i="19"/>
  <c r="AB22" i="19" s="1"/>
  <c r="G23" i="19"/>
  <c r="I23" i="19" s="1"/>
  <c r="M23" i="19"/>
  <c r="O23" i="19" s="1"/>
  <c r="S23" i="19"/>
  <c r="U23" i="19" s="1"/>
  <c r="Y23" i="19"/>
  <c r="AA23" i="19" s="1"/>
  <c r="D24" i="19"/>
  <c r="G24" i="19" s="1"/>
  <c r="G40" i="19" s="1"/>
  <c r="E24" i="19"/>
  <c r="F24" i="19"/>
  <c r="H24" i="19"/>
  <c r="H40" i="19" s="1"/>
  <c r="J24" i="19"/>
  <c r="J40" i="19" s="1"/>
  <c r="K24" i="19"/>
  <c r="L24" i="19"/>
  <c r="N24" i="19"/>
  <c r="P24" i="19"/>
  <c r="P40" i="19" s="1"/>
  <c r="Q24" i="19"/>
  <c r="R24" i="19"/>
  <c r="T24" i="19"/>
  <c r="T40" i="19" s="1"/>
  <c r="V24" i="19"/>
  <c r="W24" i="19"/>
  <c r="X24" i="19"/>
  <c r="X40" i="19" s="1"/>
  <c r="Z24" i="19"/>
  <c r="Z40" i="19" s="1"/>
  <c r="G28" i="19"/>
  <c r="I28" i="19" s="1"/>
  <c r="M28" i="19"/>
  <c r="O28" i="19" s="1"/>
  <c r="S28" i="19"/>
  <c r="U28" i="19" s="1"/>
  <c r="Y28" i="19"/>
  <c r="AA28" i="19" s="1"/>
  <c r="AB28" i="19" s="1"/>
  <c r="G29" i="19"/>
  <c r="I29" i="19"/>
  <c r="M29" i="19"/>
  <c r="O29" i="19"/>
  <c r="S29" i="19"/>
  <c r="U29" i="19"/>
  <c r="Y29" i="19"/>
  <c r="AA29" i="19"/>
  <c r="AB29" i="19" s="1"/>
  <c r="G30" i="19"/>
  <c r="I30" i="19" s="1"/>
  <c r="M30" i="19"/>
  <c r="O30" i="19" s="1"/>
  <c r="S30" i="19"/>
  <c r="U30" i="19" s="1"/>
  <c r="Y30" i="19"/>
  <c r="AA30" i="19" s="1"/>
  <c r="AB30" i="19" s="1"/>
  <c r="G31" i="19"/>
  <c r="I31" i="19"/>
  <c r="M31" i="19"/>
  <c r="O31" i="19"/>
  <c r="S31" i="19"/>
  <c r="U31" i="19"/>
  <c r="Y31" i="19"/>
  <c r="AA31" i="19"/>
  <c r="AB31" i="19" s="1"/>
  <c r="G32" i="19"/>
  <c r="I32" i="19" s="1"/>
  <c r="M32" i="19"/>
  <c r="O32" i="19" s="1"/>
  <c r="S32" i="19"/>
  <c r="U32" i="19" s="1"/>
  <c r="Y32" i="19"/>
  <c r="AA32" i="19" s="1"/>
  <c r="AB32" i="19" s="1"/>
  <c r="G33" i="19"/>
  <c r="I33" i="19"/>
  <c r="M33" i="19"/>
  <c r="O33" i="19"/>
  <c r="S33" i="19"/>
  <c r="U33" i="19"/>
  <c r="Y33" i="19"/>
  <c r="AA33" i="19"/>
  <c r="AB33" i="19" s="1"/>
  <c r="G34" i="19"/>
  <c r="I34" i="19" s="1"/>
  <c r="M34" i="19"/>
  <c r="O34" i="19" s="1"/>
  <c r="S34" i="19"/>
  <c r="U34" i="19" s="1"/>
  <c r="Y34" i="19"/>
  <c r="AA34" i="19" s="1"/>
  <c r="AB34" i="19" s="1"/>
  <c r="G35" i="19"/>
  <c r="I35" i="19"/>
  <c r="M35" i="19"/>
  <c r="O35" i="19"/>
  <c r="S35" i="19"/>
  <c r="U35" i="19"/>
  <c r="Y35" i="19"/>
  <c r="AA35" i="19"/>
  <c r="AB35" i="19" s="1"/>
  <c r="G36" i="19"/>
  <c r="I36" i="19" s="1"/>
  <c r="M36" i="19"/>
  <c r="O36" i="19" s="1"/>
  <c r="S36" i="19"/>
  <c r="U36" i="19" s="1"/>
  <c r="Y36" i="19"/>
  <c r="AA36" i="19" s="1"/>
  <c r="G37" i="19"/>
  <c r="I37" i="19"/>
  <c r="M37" i="19"/>
  <c r="O37" i="19"/>
  <c r="S37" i="19"/>
  <c r="U37" i="19"/>
  <c r="Y37" i="19"/>
  <c r="AA37" i="19"/>
  <c r="AB37" i="19" s="1"/>
  <c r="G38" i="19"/>
  <c r="I38" i="19" s="1"/>
  <c r="M38" i="19"/>
  <c r="O38" i="19" s="1"/>
  <c r="S38" i="19"/>
  <c r="U38" i="19" s="1"/>
  <c r="Y38" i="19"/>
  <c r="AA38" i="19" s="1"/>
  <c r="AB38" i="19" s="1"/>
  <c r="D39" i="19"/>
  <c r="E39" i="19"/>
  <c r="F39" i="19"/>
  <c r="G39" i="19"/>
  <c r="H39" i="19"/>
  <c r="J39" i="19"/>
  <c r="K39" i="19"/>
  <c r="L39" i="19"/>
  <c r="L40" i="19" s="1"/>
  <c r="N39" i="19"/>
  <c r="P39" i="19"/>
  <c r="S39" i="19" s="1"/>
  <c r="Q39" i="19"/>
  <c r="Q40" i="19" s="1"/>
  <c r="R39" i="19"/>
  <c r="R40" i="19" s="1"/>
  <c r="T39" i="19"/>
  <c r="V39" i="19"/>
  <c r="W39" i="19"/>
  <c r="Y39" i="19" s="1"/>
  <c r="X39" i="19"/>
  <c r="Z39" i="19"/>
  <c r="D40" i="19"/>
  <c r="F40" i="19"/>
  <c r="N40" i="19"/>
  <c r="V40" i="19"/>
  <c r="G50" i="19"/>
  <c r="M50" i="19"/>
  <c r="S50" i="19"/>
  <c r="Y50" i="19"/>
  <c r="G51" i="19"/>
  <c r="M51" i="19"/>
  <c r="S51" i="19"/>
  <c r="Y51" i="19"/>
  <c r="G52" i="19"/>
  <c r="M52" i="19"/>
  <c r="S52" i="19"/>
  <c r="Y52" i="19"/>
  <c r="G53" i="19"/>
  <c r="M53" i="19"/>
  <c r="S53" i="19"/>
  <c r="Y53" i="19"/>
  <c r="G54" i="19"/>
  <c r="M54" i="19"/>
  <c r="S54" i="19"/>
  <c r="Y54" i="19"/>
  <c r="AA41" i="21" l="1"/>
  <c r="AB41" i="21" s="1"/>
  <c r="AB40" i="21"/>
  <c r="I40" i="20"/>
  <c r="I41" i="20" s="1"/>
  <c r="AB24" i="20"/>
  <c r="AA40" i="20"/>
  <c r="O40" i="20"/>
  <c r="O41" i="20" s="1"/>
  <c r="M39" i="19"/>
  <c r="S24" i="19"/>
  <c r="S40" i="19" s="1"/>
  <c r="E40" i="19"/>
  <c r="W40" i="19"/>
  <c r="AB21" i="19"/>
  <c r="K40" i="19"/>
  <c r="AA39" i="19"/>
  <c r="AB36" i="19"/>
  <c r="AB16" i="19"/>
  <c r="AA24" i="19"/>
  <c r="U39" i="19"/>
  <c r="U24" i="19"/>
  <c r="U40" i="19" s="1"/>
  <c r="U41" i="19" s="1"/>
  <c r="O39" i="19"/>
  <c r="AB23" i="19"/>
  <c r="O24" i="19"/>
  <c r="I39" i="19"/>
  <c r="I24" i="19"/>
  <c r="Y24" i="19"/>
  <c r="Y40" i="19" s="1"/>
  <c r="M24" i="19"/>
  <c r="M40" i="19" s="1"/>
  <c r="G15" i="18"/>
  <c r="K15" i="18" s="1"/>
  <c r="O15" i="18"/>
  <c r="Q15" i="18"/>
  <c r="U15" i="18"/>
  <c r="W15" i="18" s="1"/>
  <c r="AA15" i="18"/>
  <c r="AC15" i="18"/>
  <c r="AD15" i="18" s="1"/>
  <c r="G16" i="18"/>
  <c r="K16" i="18"/>
  <c r="O16" i="18"/>
  <c r="Q16" i="18" s="1"/>
  <c r="U16" i="18"/>
  <c r="W16" i="18"/>
  <c r="AA16" i="18"/>
  <c r="AC16" i="18" s="1"/>
  <c r="AD16" i="18" s="1"/>
  <c r="G17" i="18"/>
  <c r="K17" i="18"/>
  <c r="O17" i="18"/>
  <c r="Q17" i="18"/>
  <c r="U17" i="18"/>
  <c r="W17" i="18"/>
  <c r="X17" i="18"/>
  <c r="AA17" i="18"/>
  <c r="AC17" i="18"/>
  <c r="AD17" i="18"/>
  <c r="E18" i="18"/>
  <c r="G18" i="18"/>
  <c r="K18" i="18"/>
  <c r="O18" i="18"/>
  <c r="Q18" i="18" s="1"/>
  <c r="U18" i="18"/>
  <c r="W18" i="18"/>
  <c r="Y18" i="18"/>
  <c r="AA18" i="18" s="1"/>
  <c r="AC18" i="18" s="1"/>
  <c r="AD18" i="18" s="1"/>
  <c r="G19" i="18"/>
  <c r="K19" i="18" s="1"/>
  <c r="O19" i="18"/>
  <c r="Q19" i="18"/>
  <c r="U19" i="18"/>
  <c r="W19" i="18" s="1"/>
  <c r="AA19" i="18"/>
  <c r="AC19" i="18"/>
  <c r="AD19" i="18"/>
  <c r="G20" i="18"/>
  <c r="K20" i="18" s="1"/>
  <c r="O20" i="18"/>
  <c r="Q20" i="18"/>
  <c r="U20" i="18"/>
  <c r="W20" i="18" s="1"/>
  <c r="AA20" i="18"/>
  <c r="AC20" i="18"/>
  <c r="AD20" i="18" s="1"/>
  <c r="G21" i="18"/>
  <c r="J21" i="18"/>
  <c r="K21" i="18"/>
  <c r="O21" i="18"/>
  <c r="Q21" i="18" s="1"/>
  <c r="AD21" i="18" s="1"/>
  <c r="U21" i="18"/>
  <c r="W21" i="18" s="1"/>
  <c r="V21" i="18"/>
  <c r="V24" i="18" s="1"/>
  <c r="V40" i="18" s="1"/>
  <c r="AA21" i="18"/>
  <c r="AC21" i="18"/>
  <c r="G22" i="18"/>
  <c r="K22" i="18"/>
  <c r="O22" i="18"/>
  <c r="Q22" i="18"/>
  <c r="U22" i="18"/>
  <c r="W22" i="18"/>
  <c r="AA22" i="18"/>
  <c r="AC22" i="18"/>
  <c r="AD22" i="18" s="1"/>
  <c r="G23" i="18"/>
  <c r="K23" i="18"/>
  <c r="O23" i="18"/>
  <c r="Q23" i="18" s="1"/>
  <c r="U23" i="18"/>
  <c r="W23" i="18"/>
  <c r="AA23" i="18"/>
  <c r="AC23" i="18" s="1"/>
  <c r="AD23" i="18" s="1"/>
  <c r="D24" i="18"/>
  <c r="G24" i="18" s="1"/>
  <c r="E24" i="18"/>
  <c r="F24" i="18"/>
  <c r="J24" i="18"/>
  <c r="L24" i="18"/>
  <c r="M24" i="18"/>
  <c r="N24" i="18"/>
  <c r="O24" i="18"/>
  <c r="O40" i="18" s="1"/>
  <c r="P24" i="18"/>
  <c r="R24" i="18"/>
  <c r="U24" i="18" s="1"/>
  <c r="S24" i="18"/>
  <c r="T24" i="18"/>
  <c r="X24" i="18"/>
  <c r="Z24" i="18"/>
  <c r="AB24" i="18"/>
  <c r="G28" i="18"/>
  <c r="K28" i="18" s="1"/>
  <c r="O28" i="18"/>
  <c r="Q28" i="18"/>
  <c r="U28" i="18"/>
  <c r="W28" i="18" s="1"/>
  <c r="X28" i="18"/>
  <c r="AA28" i="18"/>
  <c r="AC28" i="18"/>
  <c r="AD28" i="18" s="1"/>
  <c r="D29" i="18"/>
  <c r="E29" i="18"/>
  <c r="G29" i="18"/>
  <c r="K29" i="18" s="1"/>
  <c r="O29" i="18"/>
  <c r="Q29" i="18"/>
  <c r="R29" i="18"/>
  <c r="U29" i="18" s="1"/>
  <c r="W29" i="18" s="1"/>
  <c r="S29" i="18"/>
  <c r="X29" i="18"/>
  <c r="Y29" i="18"/>
  <c r="G30" i="18"/>
  <c r="K30" i="18"/>
  <c r="O30" i="18"/>
  <c r="Q30" i="18"/>
  <c r="U30" i="18"/>
  <c r="W30" i="18"/>
  <c r="AA30" i="18"/>
  <c r="AC30" i="18"/>
  <c r="AD30" i="18" s="1"/>
  <c r="D31" i="18"/>
  <c r="E31" i="18"/>
  <c r="G31" i="18"/>
  <c r="K31" i="18" s="1"/>
  <c r="O31" i="18"/>
  <c r="Q31" i="18"/>
  <c r="R31" i="18"/>
  <c r="U31" i="18" s="1"/>
  <c r="W31" i="18" s="1"/>
  <c r="S31" i="18"/>
  <c r="X31" i="18"/>
  <c r="AA31" i="18" s="1"/>
  <c r="AC31" i="18" s="1"/>
  <c r="AD31" i="18" s="1"/>
  <c r="Y31" i="18"/>
  <c r="J32" i="18"/>
  <c r="J39" i="18" s="1"/>
  <c r="J40" i="18" s="1"/>
  <c r="O32" i="18"/>
  <c r="P32" i="18"/>
  <c r="P39" i="18" s="1"/>
  <c r="P40" i="18" s="1"/>
  <c r="Q32" i="18"/>
  <c r="R32" i="18"/>
  <c r="V32" i="18"/>
  <c r="V39" i="18" s="1"/>
  <c r="Z32" i="18"/>
  <c r="Z39" i="18" s="1"/>
  <c r="Z40" i="18" s="1"/>
  <c r="AB32" i="18"/>
  <c r="E33" i="18"/>
  <c r="E32" i="18" s="1"/>
  <c r="E39" i="18" s="1"/>
  <c r="O33" i="18"/>
  <c r="Q33" i="18" s="1"/>
  <c r="S33" i="18"/>
  <c r="S32" i="18" s="1"/>
  <c r="U33" i="18"/>
  <c r="W33" i="18"/>
  <c r="X33" i="18"/>
  <c r="X32" i="18" s="1"/>
  <c r="Y33" i="18"/>
  <c r="AA33" i="18"/>
  <c r="AC33" i="18"/>
  <c r="AD33" i="18" s="1"/>
  <c r="D34" i="18"/>
  <c r="D32" i="18" s="1"/>
  <c r="G32" i="18" s="1"/>
  <c r="K32" i="18" s="1"/>
  <c r="E34" i="18"/>
  <c r="G34" i="18"/>
  <c r="K34" i="18" s="1"/>
  <c r="O34" i="18"/>
  <c r="Q34" i="18"/>
  <c r="S34" i="18"/>
  <c r="U34" i="18" s="1"/>
  <c r="W34" i="18" s="1"/>
  <c r="X34" i="18"/>
  <c r="AA34" i="18" s="1"/>
  <c r="AC34" i="18" s="1"/>
  <c r="AD34" i="18" s="1"/>
  <c r="Y34" i="18"/>
  <c r="Y32" i="18" s="1"/>
  <c r="D35" i="18"/>
  <c r="D39" i="18" s="1"/>
  <c r="E35" i="18"/>
  <c r="O35" i="18"/>
  <c r="Q35" i="18" s="1"/>
  <c r="S35" i="18"/>
  <c r="U35" i="18"/>
  <c r="W35" i="18"/>
  <c r="X35" i="18"/>
  <c r="Y35" i="18"/>
  <c r="AA35" i="18"/>
  <c r="AC35" i="18"/>
  <c r="G36" i="18"/>
  <c r="K36" i="18"/>
  <c r="O36" i="18"/>
  <c r="Q36" i="18" s="1"/>
  <c r="U36" i="18"/>
  <c r="W36" i="18"/>
  <c r="AA36" i="18"/>
  <c r="AC36" i="18" s="1"/>
  <c r="AD36" i="18" s="1"/>
  <c r="G37" i="18"/>
  <c r="K37" i="18"/>
  <c r="O37" i="18"/>
  <c r="Q37" i="18" s="1"/>
  <c r="AD37" i="18" s="1"/>
  <c r="U37" i="18"/>
  <c r="W37" i="18"/>
  <c r="AA37" i="18"/>
  <c r="AC37" i="18"/>
  <c r="D38" i="18"/>
  <c r="G38" i="18" s="1"/>
  <c r="K38" i="18" s="1"/>
  <c r="E38" i="18"/>
  <c r="O38" i="18"/>
  <c r="Q38" i="18" s="1"/>
  <c r="R38" i="18"/>
  <c r="S38" i="18"/>
  <c r="U38" i="18"/>
  <c r="W38" i="18" s="1"/>
  <c r="X38" i="18"/>
  <c r="Y38" i="18"/>
  <c r="Y39" i="18" s="1"/>
  <c r="AA38" i="18"/>
  <c r="AC38" i="18" s="1"/>
  <c r="AD38" i="18" s="1"/>
  <c r="F39" i="18"/>
  <c r="L39" i="18"/>
  <c r="M39" i="18"/>
  <c r="N39" i="18"/>
  <c r="O39" i="18"/>
  <c r="T39" i="18"/>
  <c r="AB39" i="18"/>
  <c r="F40" i="18"/>
  <c r="L40" i="18"/>
  <c r="M40" i="18"/>
  <c r="N40" i="18"/>
  <c r="T40" i="18"/>
  <c r="AB40" i="18"/>
  <c r="D44" i="18"/>
  <c r="D50" i="18"/>
  <c r="G50" i="18" s="1"/>
  <c r="E50" i="18"/>
  <c r="F50" i="18"/>
  <c r="L50" i="18"/>
  <c r="M50" i="18"/>
  <c r="N50" i="18"/>
  <c r="S50" i="18"/>
  <c r="T50" i="18"/>
  <c r="X50" i="18"/>
  <c r="AA50" i="18" s="1"/>
  <c r="Y50" i="18"/>
  <c r="Z50" i="18"/>
  <c r="G51" i="18"/>
  <c r="R51" i="18" s="1"/>
  <c r="O51" i="18"/>
  <c r="O50" i="18" s="1"/>
  <c r="AA51" i="18"/>
  <c r="G52" i="18"/>
  <c r="R52" i="18" s="1"/>
  <c r="U52" i="18" s="1"/>
  <c r="O52" i="18"/>
  <c r="AA52" i="18"/>
  <c r="G53" i="18"/>
  <c r="O53" i="18"/>
  <c r="R53" i="18"/>
  <c r="U53" i="18"/>
  <c r="AA53" i="18"/>
  <c r="G54" i="18"/>
  <c r="O54" i="18"/>
  <c r="R54" i="18"/>
  <c r="U54" i="18" s="1"/>
  <c r="AA54" i="18"/>
  <c r="AB40" i="20" l="1"/>
  <c r="AA41" i="20"/>
  <c r="AB41" i="20" s="1"/>
  <c r="I40" i="19"/>
  <c r="I41" i="19" s="1"/>
  <c r="AB24" i="19"/>
  <c r="AA40" i="19"/>
  <c r="O40" i="19"/>
  <c r="O41" i="19" s="1"/>
  <c r="AB39" i="19"/>
  <c r="W24" i="18"/>
  <c r="U51" i="18"/>
  <c r="R50" i="18"/>
  <c r="U50" i="18" s="1"/>
  <c r="AD35" i="18"/>
  <c r="U32" i="18"/>
  <c r="W32" i="18" s="1"/>
  <c r="S39" i="18"/>
  <c r="S40" i="18"/>
  <c r="Q24" i="18"/>
  <c r="W39" i="18"/>
  <c r="D40" i="18"/>
  <c r="G39" i="18"/>
  <c r="G40" i="18" s="1"/>
  <c r="AA32" i="18"/>
  <c r="AC32" i="18" s="1"/>
  <c r="AD32" i="18" s="1"/>
  <c r="X39" i="18"/>
  <c r="E40" i="18"/>
  <c r="Q39" i="18"/>
  <c r="K24" i="18"/>
  <c r="R39" i="18"/>
  <c r="AC39" i="18"/>
  <c r="AD39" i="18" s="1"/>
  <c r="G35" i="18"/>
  <c r="K35" i="18" s="1"/>
  <c r="K39" i="18" s="1"/>
  <c r="G33" i="18"/>
  <c r="K33" i="18" s="1"/>
  <c r="AA29" i="18"/>
  <c r="AC29" i="18" s="1"/>
  <c r="AD29" i="18" s="1"/>
  <c r="AC24" i="18"/>
  <c r="Y24" i="18"/>
  <c r="G15" i="17"/>
  <c r="I15" i="17" s="1"/>
  <c r="M15" i="17"/>
  <c r="O15" i="17"/>
  <c r="S15" i="17"/>
  <c r="U15" i="17" s="1"/>
  <c r="Y15" i="17"/>
  <c r="AA15" i="17"/>
  <c r="AB15" i="17" s="1"/>
  <c r="G16" i="17"/>
  <c r="I16" i="17"/>
  <c r="M16" i="17"/>
  <c r="O16" i="17" s="1"/>
  <c r="S16" i="17"/>
  <c r="U16" i="17"/>
  <c r="Y16" i="17"/>
  <c r="AA16" i="17" s="1"/>
  <c r="G17" i="17"/>
  <c r="I17" i="17"/>
  <c r="M17" i="17"/>
  <c r="O17" i="17" s="1"/>
  <c r="S17" i="17"/>
  <c r="U17" i="17"/>
  <c r="Y17" i="17"/>
  <c r="AA17" i="17" s="1"/>
  <c r="G18" i="17"/>
  <c r="I18" i="17" s="1"/>
  <c r="M18" i="17"/>
  <c r="O18" i="17"/>
  <c r="S18" i="17"/>
  <c r="U18" i="17" s="1"/>
  <c r="Y18" i="17"/>
  <c r="AA18" i="17"/>
  <c r="AB18" i="17"/>
  <c r="G19" i="17"/>
  <c r="I19" i="17" s="1"/>
  <c r="M19" i="17"/>
  <c r="O19" i="17"/>
  <c r="S19" i="17"/>
  <c r="U19" i="17" s="1"/>
  <c r="Y19" i="17"/>
  <c r="AA19" i="17"/>
  <c r="AB19" i="17" s="1"/>
  <c r="G20" i="17"/>
  <c r="I20" i="17"/>
  <c r="M20" i="17"/>
  <c r="O20" i="17" s="1"/>
  <c r="S20" i="17"/>
  <c r="U20" i="17"/>
  <c r="Y20" i="17"/>
  <c r="AA20" i="17" s="1"/>
  <c r="AB20" i="17" s="1"/>
  <c r="G21" i="17"/>
  <c r="I21" i="17"/>
  <c r="M21" i="17"/>
  <c r="O21" i="17"/>
  <c r="S21" i="17"/>
  <c r="U21" i="17"/>
  <c r="Y21" i="17"/>
  <c r="AA21" i="17"/>
  <c r="AB21" i="17"/>
  <c r="G22" i="17"/>
  <c r="I22" i="17" s="1"/>
  <c r="M22" i="17"/>
  <c r="O22" i="17"/>
  <c r="S22" i="17"/>
  <c r="U22" i="17" s="1"/>
  <c r="Y22" i="17"/>
  <c r="AA22" i="17"/>
  <c r="AB22" i="17"/>
  <c r="G23" i="17"/>
  <c r="I23" i="17"/>
  <c r="M23" i="17"/>
  <c r="O23" i="17"/>
  <c r="S23" i="17"/>
  <c r="U23" i="17"/>
  <c r="Y23" i="17"/>
  <c r="AA23" i="17"/>
  <c r="AB23" i="17" s="1"/>
  <c r="D24" i="17"/>
  <c r="G24" i="17" s="1"/>
  <c r="E24" i="17"/>
  <c r="F24" i="17"/>
  <c r="F40" i="17" s="1"/>
  <c r="J24" i="17"/>
  <c r="M24" i="17" s="1"/>
  <c r="K24" i="17"/>
  <c r="L24" i="17"/>
  <c r="L40" i="17" s="1"/>
  <c r="N24" i="17"/>
  <c r="P24" i="17"/>
  <c r="S24" i="17" s="1"/>
  <c r="S40" i="17" s="1"/>
  <c r="Q24" i="17"/>
  <c r="R24" i="17"/>
  <c r="T24" i="17"/>
  <c r="T40" i="17" s="1"/>
  <c r="V24" i="17"/>
  <c r="W24" i="17"/>
  <c r="Y24" i="17" s="1"/>
  <c r="X24" i="17"/>
  <c r="X40" i="17" s="1"/>
  <c r="Z24" i="17"/>
  <c r="G28" i="17"/>
  <c r="I28" i="17" s="1"/>
  <c r="M28" i="17"/>
  <c r="O28" i="17"/>
  <c r="S28" i="17"/>
  <c r="U28" i="17"/>
  <c r="Y28" i="17"/>
  <c r="AA28" i="17"/>
  <c r="AB28" i="17" s="1"/>
  <c r="G29" i="17"/>
  <c r="I29" i="17"/>
  <c r="M29" i="17"/>
  <c r="O29" i="17" s="1"/>
  <c r="S29" i="17"/>
  <c r="U29" i="17"/>
  <c r="Y29" i="17"/>
  <c r="AA29" i="17" s="1"/>
  <c r="AB29" i="17" s="1"/>
  <c r="G30" i="17"/>
  <c r="I30" i="17"/>
  <c r="M30" i="17"/>
  <c r="O30" i="17" s="1"/>
  <c r="S30" i="17"/>
  <c r="U30" i="17"/>
  <c r="Y30" i="17"/>
  <c r="AA30" i="17" s="1"/>
  <c r="G31" i="17"/>
  <c r="I31" i="17" s="1"/>
  <c r="M31" i="17"/>
  <c r="O31" i="17"/>
  <c r="S31" i="17"/>
  <c r="U31" i="17" s="1"/>
  <c r="Y31" i="17"/>
  <c r="AA31" i="17"/>
  <c r="AB31" i="17"/>
  <c r="G32" i="17"/>
  <c r="I32" i="17"/>
  <c r="M32" i="17"/>
  <c r="O32" i="17"/>
  <c r="S32" i="17"/>
  <c r="U32" i="17"/>
  <c r="Y32" i="17"/>
  <c r="AA32" i="17"/>
  <c r="AB32" i="17" s="1"/>
  <c r="G33" i="17"/>
  <c r="I33" i="17"/>
  <c r="M33" i="17"/>
  <c r="O33" i="17" s="1"/>
  <c r="S33" i="17"/>
  <c r="U33" i="17"/>
  <c r="Y33" i="17"/>
  <c r="AA33" i="17" s="1"/>
  <c r="G34" i="17"/>
  <c r="I34" i="17"/>
  <c r="M34" i="17"/>
  <c r="O34" i="17"/>
  <c r="S34" i="17"/>
  <c r="U34" i="17"/>
  <c r="Y34" i="17"/>
  <c r="AA34" i="17"/>
  <c r="AB34" i="17"/>
  <c r="G35" i="17"/>
  <c r="I35" i="17" s="1"/>
  <c r="M35" i="17"/>
  <c r="O35" i="17"/>
  <c r="S35" i="17"/>
  <c r="U35" i="17" s="1"/>
  <c r="U39" i="17" s="1"/>
  <c r="Y35" i="17"/>
  <c r="AA35" i="17" s="1"/>
  <c r="G36" i="17"/>
  <c r="I36" i="17" s="1"/>
  <c r="M36" i="17"/>
  <c r="O36" i="17"/>
  <c r="O39" i="17" s="1"/>
  <c r="S36" i="17"/>
  <c r="U36" i="17" s="1"/>
  <c r="Y36" i="17"/>
  <c r="AA36" i="17"/>
  <c r="AB36" i="17" s="1"/>
  <c r="G37" i="17"/>
  <c r="M37" i="17"/>
  <c r="O37" i="17"/>
  <c r="S37" i="17"/>
  <c r="U37" i="17" s="1"/>
  <c r="Y37" i="17"/>
  <c r="AA37" i="17"/>
  <c r="AB37" i="17" s="1"/>
  <c r="G38" i="17"/>
  <c r="M38" i="17"/>
  <c r="O38" i="17"/>
  <c r="S38" i="17"/>
  <c r="U38" i="17"/>
  <c r="Y38" i="17"/>
  <c r="AA38" i="17"/>
  <c r="AB38" i="17" s="1"/>
  <c r="D39" i="17"/>
  <c r="G39" i="17" s="1"/>
  <c r="E39" i="17"/>
  <c r="F39" i="17"/>
  <c r="H39" i="17"/>
  <c r="J39" i="17"/>
  <c r="J40" i="17" s="1"/>
  <c r="K39" i="17"/>
  <c r="L39" i="17"/>
  <c r="N39" i="17"/>
  <c r="N40" i="17" s="1"/>
  <c r="P39" i="17"/>
  <c r="Q39" i="17"/>
  <c r="R39" i="17"/>
  <c r="S39" i="17" s="1"/>
  <c r="T39" i="17"/>
  <c r="V39" i="17"/>
  <c r="V40" i="17" s="1"/>
  <c r="W39" i="17"/>
  <c r="X39" i="17"/>
  <c r="Z39" i="17"/>
  <c r="Z40" i="17" s="1"/>
  <c r="D40" i="17"/>
  <c r="E40" i="17"/>
  <c r="H40" i="17"/>
  <c r="K40" i="17"/>
  <c r="Q40" i="17"/>
  <c r="W40" i="17"/>
  <c r="G50" i="17"/>
  <c r="J50" i="17" s="1"/>
  <c r="M50" i="17" s="1"/>
  <c r="S50" i="17"/>
  <c r="Y50" i="17"/>
  <c r="G51" i="17"/>
  <c r="J51" i="17" s="1"/>
  <c r="M51" i="17" s="1"/>
  <c r="S51" i="17"/>
  <c r="Y51" i="17"/>
  <c r="G52" i="17"/>
  <c r="J52" i="17"/>
  <c r="M52" i="17" s="1"/>
  <c r="S52" i="17"/>
  <c r="Y52" i="17"/>
  <c r="G53" i="17"/>
  <c r="J53" i="17" s="1"/>
  <c r="M53" i="17" s="1"/>
  <c r="S53" i="17"/>
  <c r="Y53" i="17"/>
  <c r="G54" i="17"/>
  <c r="J54" i="17" s="1"/>
  <c r="M54" i="17" s="1"/>
  <c r="S54" i="17"/>
  <c r="Y54" i="17"/>
  <c r="AB40" i="19" l="1"/>
  <c r="AA41" i="19"/>
  <c r="AB41" i="19" s="1"/>
  <c r="R40" i="18"/>
  <c r="U39" i="18"/>
  <c r="U40" i="18" s="1"/>
  <c r="Q40" i="18"/>
  <c r="Q41" i="18" s="1"/>
  <c r="K40" i="18"/>
  <c r="K41" i="18" s="1"/>
  <c r="AC40" i="18"/>
  <c r="AD24" i="18"/>
  <c r="Y40" i="18"/>
  <c r="AA24" i="18"/>
  <c r="AA40" i="18" s="1"/>
  <c r="X40" i="18"/>
  <c r="AA39" i="18"/>
  <c r="W40" i="18"/>
  <c r="W41" i="18" s="1"/>
  <c r="AB16" i="17"/>
  <c r="U24" i="17"/>
  <c r="U40" i="17" s="1"/>
  <c r="U41" i="17" s="1"/>
  <c r="AB30" i="17"/>
  <c r="O24" i="17"/>
  <c r="O40" i="17" s="1"/>
  <c r="O41" i="17" s="1"/>
  <c r="AB33" i="17"/>
  <c r="AA39" i="17"/>
  <c r="AB39" i="17" s="1"/>
  <c r="AB35" i="17"/>
  <c r="I39" i="17"/>
  <c r="I40" i="17" s="1"/>
  <c r="I41" i="17" s="1"/>
  <c r="G40" i="17"/>
  <c r="AB17" i="17"/>
  <c r="P40" i="17"/>
  <c r="Y39" i="17"/>
  <c r="Y40" i="17" s="1"/>
  <c r="M39" i="17"/>
  <c r="M40" i="17" s="1"/>
  <c r="AA24" i="17"/>
  <c r="R40" i="17"/>
  <c r="AD40" i="18" l="1"/>
  <c r="AC41" i="18"/>
  <c r="AD41" i="18" s="1"/>
  <c r="AA40" i="17"/>
  <c r="AB24" i="17"/>
  <c r="AB40" i="17" l="1"/>
  <c r="AA41" i="17"/>
  <c r="AB41" i="17" s="1"/>
  <c r="G15" i="16" l="1"/>
  <c r="I15" i="16" s="1"/>
  <c r="M15" i="16"/>
  <c r="O15" i="16"/>
  <c r="S15" i="16"/>
  <c r="U15" i="16" s="1"/>
  <c r="Y15" i="16"/>
  <c r="AA15" i="16"/>
  <c r="G16" i="16"/>
  <c r="I16" i="16"/>
  <c r="M16" i="16"/>
  <c r="O16" i="16" s="1"/>
  <c r="S16" i="16"/>
  <c r="U16" i="16"/>
  <c r="Y16" i="16"/>
  <c r="AA16" i="16" s="1"/>
  <c r="AB16" i="16" s="1"/>
  <c r="G17" i="16"/>
  <c r="I17" i="16"/>
  <c r="M17" i="16"/>
  <c r="O17" i="16" s="1"/>
  <c r="S17" i="16"/>
  <c r="U17" i="16" s="1"/>
  <c r="Y17" i="16"/>
  <c r="AA17" i="16" s="1"/>
  <c r="G18" i="16"/>
  <c r="I18" i="16" s="1"/>
  <c r="M18" i="16"/>
  <c r="O18" i="16" s="1"/>
  <c r="S18" i="16"/>
  <c r="U18" i="16" s="1"/>
  <c r="Y18" i="16"/>
  <c r="AA18" i="16"/>
  <c r="G19" i="16"/>
  <c r="I19" i="16" s="1"/>
  <c r="M19" i="16"/>
  <c r="O19" i="16"/>
  <c r="S19" i="16"/>
  <c r="U19" i="16" s="1"/>
  <c r="Y19" i="16"/>
  <c r="AA19" i="16"/>
  <c r="G20" i="16"/>
  <c r="I20" i="16" s="1"/>
  <c r="M20" i="16"/>
  <c r="O20" i="16" s="1"/>
  <c r="S20" i="16"/>
  <c r="U20" i="16"/>
  <c r="Y20" i="16"/>
  <c r="AA20" i="16" s="1"/>
  <c r="AB20" i="16" s="1"/>
  <c r="G21" i="16"/>
  <c r="I21" i="16"/>
  <c r="M21" i="16"/>
  <c r="O21" i="16" s="1"/>
  <c r="S21" i="16"/>
  <c r="U21" i="16"/>
  <c r="Y21" i="16"/>
  <c r="AA21" i="16" s="1"/>
  <c r="G22" i="16"/>
  <c r="I22" i="16" s="1"/>
  <c r="M22" i="16"/>
  <c r="O22" i="16" s="1"/>
  <c r="S22" i="16"/>
  <c r="U22" i="16" s="1"/>
  <c r="Y22" i="16"/>
  <c r="AA22" i="16"/>
  <c r="AB22" i="16" s="1"/>
  <c r="G23" i="16"/>
  <c r="I23" i="16"/>
  <c r="M23" i="16"/>
  <c r="O23" i="16" s="1"/>
  <c r="S23" i="16"/>
  <c r="U23" i="16"/>
  <c r="Y23" i="16"/>
  <c r="AA23" i="16" s="1"/>
  <c r="D24" i="16"/>
  <c r="E24" i="16"/>
  <c r="F24" i="16"/>
  <c r="H24" i="16"/>
  <c r="J24" i="16"/>
  <c r="K24" i="16"/>
  <c r="L24" i="16"/>
  <c r="N24" i="16"/>
  <c r="P24" i="16"/>
  <c r="Q24" i="16"/>
  <c r="R24" i="16"/>
  <c r="T24" i="16"/>
  <c r="V24" i="16"/>
  <c r="W24" i="16"/>
  <c r="X24" i="16"/>
  <c r="Z24" i="16"/>
  <c r="G28" i="16"/>
  <c r="I28" i="16" s="1"/>
  <c r="M28" i="16"/>
  <c r="O28" i="16" s="1"/>
  <c r="S28" i="16"/>
  <c r="U28" i="16" s="1"/>
  <c r="Y28" i="16"/>
  <c r="AA28" i="16" s="1"/>
  <c r="G29" i="16"/>
  <c r="I29" i="16" s="1"/>
  <c r="M29" i="16"/>
  <c r="O29" i="16" s="1"/>
  <c r="S29" i="16"/>
  <c r="U29" i="16" s="1"/>
  <c r="Y29" i="16"/>
  <c r="AA29" i="16"/>
  <c r="G30" i="16"/>
  <c r="I30" i="16" s="1"/>
  <c r="M30" i="16"/>
  <c r="O30" i="16" s="1"/>
  <c r="S30" i="16"/>
  <c r="U30" i="16" s="1"/>
  <c r="Y30" i="16"/>
  <c r="AA30" i="16"/>
  <c r="G31" i="16"/>
  <c r="I31" i="16"/>
  <c r="M31" i="16"/>
  <c r="O31" i="16" s="1"/>
  <c r="S31" i="16"/>
  <c r="U31" i="16" s="1"/>
  <c r="Y31" i="16"/>
  <c r="AA31" i="16" s="1"/>
  <c r="AB31" i="16" s="1"/>
  <c r="G32" i="16"/>
  <c r="I32" i="16"/>
  <c r="M32" i="16"/>
  <c r="O32" i="16"/>
  <c r="Q32" i="16"/>
  <c r="S32" i="16"/>
  <c r="U32" i="16" s="1"/>
  <c r="V32" i="16"/>
  <c r="W32" i="16"/>
  <c r="W39" i="16" s="1"/>
  <c r="W40" i="16" s="1"/>
  <c r="X32" i="16"/>
  <c r="X39" i="16" s="1"/>
  <c r="G33" i="16"/>
  <c r="I33" i="16" s="1"/>
  <c r="M33" i="16"/>
  <c r="O33" i="16"/>
  <c r="S33" i="16"/>
  <c r="U33" i="16" s="1"/>
  <c r="Y33" i="16"/>
  <c r="AA33" i="16" s="1"/>
  <c r="AB33" i="16" s="1"/>
  <c r="G34" i="16"/>
  <c r="I34" i="16"/>
  <c r="M34" i="16"/>
  <c r="O34" i="16"/>
  <c r="S34" i="16"/>
  <c r="U34" i="16"/>
  <c r="Y34" i="16"/>
  <c r="AA34" i="16"/>
  <c r="AB34" i="16" s="1"/>
  <c r="G35" i="16"/>
  <c r="I35" i="16"/>
  <c r="M35" i="16"/>
  <c r="O35" i="16" s="1"/>
  <c r="S35" i="16"/>
  <c r="U35" i="16" s="1"/>
  <c r="Y35" i="16"/>
  <c r="AA35" i="16" s="1"/>
  <c r="G36" i="16"/>
  <c r="I36" i="16"/>
  <c r="M36" i="16"/>
  <c r="O36" i="16" s="1"/>
  <c r="S36" i="16"/>
  <c r="U36" i="16" s="1"/>
  <c r="Y36" i="16"/>
  <c r="AA36" i="16" s="1"/>
  <c r="AB36" i="16" s="1"/>
  <c r="G37" i="16"/>
  <c r="I37" i="16" s="1"/>
  <c r="M37" i="16"/>
  <c r="O37" i="16" s="1"/>
  <c r="S37" i="16"/>
  <c r="U37" i="16" s="1"/>
  <c r="Y37" i="16"/>
  <c r="AA37" i="16"/>
  <c r="G38" i="16"/>
  <c r="I38" i="16" s="1"/>
  <c r="M38" i="16"/>
  <c r="O38" i="16" s="1"/>
  <c r="S38" i="16"/>
  <c r="U38" i="16" s="1"/>
  <c r="Y38" i="16"/>
  <c r="AA38" i="16" s="1"/>
  <c r="D39" i="16"/>
  <c r="E39" i="16"/>
  <c r="E40" i="16" s="1"/>
  <c r="F39" i="16"/>
  <c r="H39" i="16"/>
  <c r="J39" i="16"/>
  <c r="K39" i="16"/>
  <c r="L39" i="16"/>
  <c r="N39" i="16"/>
  <c r="P39" i="16"/>
  <c r="Q39" i="16"/>
  <c r="R39" i="16"/>
  <c r="T39" i="16"/>
  <c r="V39" i="16"/>
  <c r="Y39" i="16" s="1"/>
  <c r="Z39" i="16"/>
  <c r="D40" i="16"/>
  <c r="H40" i="16"/>
  <c r="K40" i="16"/>
  <c r="L40" i="16"/>
  <c r="Q40" i="16"/>
  <c r="T40" i="16"/>
  <c r="G51" i="16"/>
  <c r="M51" i="16"/>
  <c r="S51" i="16"/>
  <c r="Y51" i="16"/>
  <c r="G52" i="16"/>
  <c r="M52" i="16"/>
  <c r="S52" i="16"/>
  <c r="Y52" i="16"/>
  <c r="G53" i="16"/>
  <c r="M53" i="16"/>
  <c r="S53" i="16"/>
  <c r="Y53" i="16"/>
  <c r="G54" i="16"/>
  <c r="M54" i="16"/>
  <c r="S54" i="16"/>
  <c r="Y54" i="16"/>
  <c r="AB21" i="16" l="1"/>
  <c r="AB37" i="16"/>
  <c r="AB23" i="16"/>
  <c r="AB18" i="16"/>
  <c r="AB29" i="16"/>
  <c r="AB38" i="16"/>
  <c r="AB28" i="16"/>
  <c r="F40" i="16"/>
  <c r="X40" i="16"/>
  <c r="AB19" i="16"/>
  <c r="S39" i="16"/>
  <c r="M39" i="16"/>
  <c r="G39" i="16"/>
  <c r="I39" i="16"/>
  <c r="V40" i="16"/>
  <c r="S24" i="16"/>
  <c r="J40" i="16"/>
  <c r="G24" i="16"/>
  <c r="G40" i="16" s="1"/>
  <c r="AB15" i="16"/>
  <c r="AB30" i="16"/>
  <c r="R40" i="16"/>
  <c r="U24" i="16"/>
  <c r="P40" i="16"/>
  <c r="Y32" i="16"/>
  <c r="AA32" i="16" s="1"/>
  <c r="AB32" i="16" s="1"/>
  <c r="Z40" i="16"/>
  <c r="N40" i="16"/>
  <c r="O24" i="16"/>
  <c r="S40" i="16"/>
  <c r="AB17" i="16"/>
  <c r="AB35" i="16"/>
  <c r="U39" i="16"/>
  <c r="O39" i="16"/>
  <c r="I24" i="16"/>
  <c r="I40" i="16" s="1"/>
  <c r="I41" i="16" s="1"/>
  <c r="Y24" i="16"/>
  <c r="Y40" i="16" s="1"/>
  <c r="M24" i="16"/>
  <c r="AA24" i="16"/>
  <c r="G15" i="15"/>
  <c r="I15" i="15" s="1"/>
  <c r="M15" i="15"/>
  <c r="O15" i="15"/>
  <c r="S15" i="15"/>
  <c r="U15" i="15" s="1"/>
  <c r="Y15" i="15"/>
  <c r="AA15" i="15"/>
  <c r="AB15" i="15"/>
  <c r="G16" i="15"/>
  <c r="I16" i="15" s="1"/>
  <c r="M16" i="15"/>
  <c r="O16" i="15"/>
  <c r="S16" i="15"/>
  <c r="U16" i="15" s="1"/>
  <c r="Y16" i="15"/>
  <c r="AA16" i="15" s="1"/>
  <c r="AB16" i="15" s="1"/>
  <c r="G17" i="15"/>
  <c r="I17" i="15"/>
  <c r="M17" i="15"/>
  <c r="O17" i="15" s="1"/>
  <c r="S17" i="15"/>
  <c r="U17" i="15"/>
  <c r="Y17" i="15"/>
  <c r="AA17" i="15" s="1"/>
  <c r="G18" i="15"/>
  <c r="I18" i="15" s="1"/>
  <c r="M18" i="15"/>
  <c r="O18" i="15" s="1"/>
  <c r="S18" i="15"/>
  <c r="U18" i="15"/>
  <c r="Y18" i="15"/>
  <c r="AA18" i="15" s="1"/>
  <c r="G19" i="15"/>
  <c r="I19" i="15" s="1"/>
  <c r="M19" i="15"/>
  <c r="O19" i="15"/>
  <c r="S19" i="15"/>
  <c r="U19" i="15" s="1"/>
  <c r="Y19" i="15"/>
  <c r="AA19" i="15"/>
  <c r="AB19" i="15"/>
  <c r="G20" i="15"/>
  <c r="I20" i="15" s="1"/>
  <c r="M20" i="15"/>
  <c r="O20" i="15"/>
  <c r="S20" i="15"/>
  <c r="U20" i="15" s="1"/>
  <c r="Y20" i="15"/>
  <c r="AA20" i="15"/>
  <c r="G21" i="15"/>
  <c r="I21" i="15"/>
  <c r="M21" i="15"/>
  <c r="O21" i="15" s="1"/>
  <c r="S21" i="15"/>
  <c r="U21" i="15"/>
  <c r="Y21" i="15"/>
  <c r="AA21" i="15" s="1"/>
  <c r="AB21" i="15" s="1"/>
  <c r="G22" i="15"/>
  <c r="I22" i="15"/>
  <c r="M22" i="15"/>
  <c r="O22" i="15" s="1"/>
  <c r="S22" i="15"/>
  <c r="U22" i="15" s="1"/>
  <c r="Y22" i="15"/>
  <c r="AA22" i="15" s="1"/>
  <c r="G23" i="15"/>
  <c r="I23" i="15" s="1"/>
  <c r="M23" i="15"/>
  <c r="O23" i="15" s="1"/>
  <c r="S23" i="15"/>
  <c r="U23" i="15" s="1"/>
  <c r="Y23" i="15"/>
  <c r="AA23" i="15"/>
  <c r="AB23" i="15" s="1"/>
  <c r="D24" i="15"/>
  <c r="G24" i="15" s="1"/>
  <c r="E24" i="15"/>
  <c r="E40" i="15" s="1"/>
  <c r="F24" i="15"/>
  <c r="F40" i="15" s="1"/>
  <c r="H24" i="15"/>
  <c r="J24" i="15"/>
  <c r="K24" i="15"/>
  <c r="K40" i="15" s="1"/>
  <c r="L24" i="15"/>
  <c r="N24" i="15"/>
  <c r="P24" i="15"/>
  <c r="S24" i="15" s="1"/>
  <c r="Q24" i="15"/>
  <c r="Q40" i="15" s="1"/>
  <c r="R24" i="15"/>
  <c r="T24" i="15"/>
  <c r="V24" i="15"/>
  <c r="Y24" i="15" s="1"/>
  <c r="W24" i="15"/>
  <c r="X24" i="15"/>
  <c r="Z24" i="15"/>
  <c r="Z40" i="15" s="1"/>
  <c r="G28" i="15"/>
  <c r="I28" i="15" s="1"/>
  <c r="M28" i="15"/>
  <c r="O28" i="15" s="1"/>
  <c r="S28" i="15"/>
  <c r="U28" i="15"/>
  <c r="Y28" i="15"/>
  <c r="AA28" i="15" s="1"/>
  <c r="AB28" i="15" s="1"/>
  <c r="G29" i="15"/>
  <c r="I29" i="15"/>
  <c r="M29" i="15"/>
  <c r="O29" i="15" s="1"/>
  <c r="S29" i="15"/>
  <c r="U29" i="15" s="1"/>
  <c r="Y29" i="15"/>
  <c r="AA29" i="15" s="1"/>
  <c r="G30" i="15"/>
  <c r="I30" i="15" s="1"/>
  <c r="M30" i="15"/>
  <c r="O30" i="15"/>
  <c r="S30" i="15"/>
  <c r="U30" i="15" s="1"/>
  <c r="Y30" i="15"/>
  <c r="AA30" i="15" s="1"/>
  <c r="AB30" i="15" s="1"/>
  <c r="G31" i="15"/>
  <c r="I31" i="15" s="1"/>
  <c r="M31" i="15"/>
  <c r="O31" i="15" s="1"/>
  <c r="S31" i="15"/>
  <c r="U31" i="15" s="1"/>
  <c r="Y31" i="15"/>
  <c r="AA31" i="15"/>
  <c r="G32" i="15"/>
  <c r="I32" i="15"/>
  <c r="M32" i="15"/>
  <c r="O32" i="15" s="1"/>
  <c r="S32" i="15"/>
  <c r="U32" i="15" s="1"/>
  <c r="W32" i="15"/>
  <c r="Y32" i="15" s="1"/>
  <c r="AA32" i="15" s="1"/>
  <c r="G33" i="15"/>
  <c r="I33" i="15" s="1"/>
  <c r="M33" i="15"/>
  <c r="O33" i="15" s="1"/>
  <c r="S33" i="15"/>
  <c r="U33" i="15" s="1"/>
  <c r="Y33" i="15"/>
  <c r="AA33" i="15"/>
  <c r="G34" i="15"/>
  <c r="I34" i="15" s="1"/>
  <c r="M34" i="15"/>
  <c r="O34" i="15"/>
  <c r="S34" i="15"/>
  <c r="U34" i="15" s="1"/>
  <c r="Y34" i="15"/>
  <c r="AA34" i="15"/>
  <c r="G35" i="15"/>
  <c r="I35" i="15" s="1"/>
  <c r="M35" i="15"/>
  <c r="O35" i="15" s="1"/>
  <c r="S35" i="15"/>
  <c r="U35" i="15"/>
  <c r="Y35" i="15"/>
  <c r="AA35" i="15" s="1"/>
  <c r="G36" i="15"/>
  <c r="I36" i="15"/>
  <c r="M36" i="15"/>
  <c r="O36" i="15" s="1"/>
  <c r="S36" i="15"/>
  <c r="U36" i="15"/>
  <c r="Y36" i="15"/>
  <c r="AA36" i="15" s="1"/>
  <c r="G37" i="15"/>
  <c r="I37" i="15" s="1"/>
  <c r="M37" i="15"/>
  <c r="O37" i="15"/>
  <c r="S37" i="15"/>
  <c r="U37" i="15" s="1"/>
  <c r="Y37" i="15"/>
  <c r="AA37" i="15" s="1"/>
  <c r="AB37" i="15" s="1"/>
  <c r="G38" i="15"/>
  <c r="I38" i="15" s="1"/>
  <c r="M38" i="15"/>
  <c r="O38" i="15" s="1"/>
  <c r="S38" i="15"/>
  <c r="U38" i="15" s="1"/>
  <c r="Y38" i="15"/>
  <c r="AA38" i="15"/>
  <c r="D39" i="15"/>
  <c r="E39" i="15"/>
  <c r="F39" i="15"/>
  <c r="G39" i="15" s="1"/>
  <c r="H39" i="15"/>
  <c r="J39" i="15"/>
  <c r="K39" i="15"/>
  <c r="L39" i="15"/>
  <c r="L40" i="15" s="1"/>
  <c r="N39" i="15"/>
  <c r="N40" i="15" s="1"/>
  <c r="P39" i="15"/>
  <c r="Q39" i="15"/>
  <c r="R39" i="15"/>
  <c r="S39" i="15" s="1"/>
  <c r="T39" i="15"/>
  <c r="T40" i="15" s="1"/>
  <c r="V39" i="15"/>
  <c r="W39" i="15"/>
  <c r="X39" i="15"/>
  <c r="X40" i="15" s="1"/>
  <c r="Z39" i="15"/>
  <c r="D40" i="15"/>
  <c r="H40" i="15"/>
  <c r="P40" i="15"/>
  <c r="V40" i="15"/>
  <c r="D50" i="15"/>
  <c r="E50" i="15"/>
  <c r="F50" i="15"/>
  <c r="J50" i="15"/>
  <c r="K50" i="15"/>
  <c r="L50" i="15"/>
  <c r="P50" i="15"/>
  <c r="Q50" i="15"/>
  <c r="R50" i="15"/>
  <c r="V50" i="15"/>
  <c r="Y50" i="15" s="1"/>
  <c r="W50" i="15"/>
  <c r="X50" i="15"/>
  <c r="G51" i="15"/>
  <c r="M51" i="15"/>
  <c r="S51" i="15"/>
  <c r="Y51" i="15"/>
  <c r="G52" i="15"/>
  <c r="M52" i="15"/>
  <c r="S52" i="15"/>
  <c r="Y52" i="15"/>
  <c r="G53" i="15"/>
  <c r="M53" i="15"/>
  <c r="S53" i="15"/>
  <c r="Y53" i="15"/>
  <c r="G54" i="15"/>
  <c r="M54" i="15"/>
  <c r="S54" i="15"/>
  <c r="Y54" i="15"/>
  <c r="AA39" i="16" l="1"/>
  <c r="AB39" i="16" s="1"/>
  <c r="M40" i="16"/>
  <c r="U40" i="16"/>
  <c r="U41" i="16" s="1"/>
  <c r="O40" i="16"/>
  <c r="O41" i="16" s="1"/>
  <c r="AB24" i="16"/>
  <c r="AA40" i="16"/>
  <c r="AB33" i="15"/>
  <c r="AB31" i="15"/>
  <c r="M50" i="15"/>
  <c r="R40" i="15"/>
  <c r="AB32" i="15"/>
  <c r="AB22" i="15"/>
  <c r="AB20" i="15"/>
  <c r="AB38" i="15"/>
  <c r="O24" i="15"/>
  <c r="G50" i="15"/>
  <c r="AB34" i="15"/>
  <c r="M24" i="15"/>
  <c r="S50" i="15"/>
  <c r="J40" i="15"/>
  <c r="Y39" i="15"/>
  <c r="M39" i="15"/>
  <c r="W40" i="15"/>
  <c r="AB18" i="15"/>
  <c r="Y40" i="15"/>
  <c r="U24" i="15"/>
  <c r="AB36" i="15"/>
  <c r="I39" i="15"/>
  <c r="AB29" i="15"/>
  <c r="M40" i="15"/>
  <c r="AA24" i="15"/>
  <c r="AB17" i="15"/>
  <c r="U39" i="15"/>
  <c r="O39" i="15"/>
  <c r="O40" i="15" s="1"/>
  <c r="O41" i="15" s="1"/>
  <c r="S40" i="15"/>
  <c r="AA39" i="15"/>
  <c r="AB35" i="15"/>
  <c r="G40" i="15"/>
  <c r="I24" i="15"/>
  <c r="G15" i="14"/>
  <c r="I15" i="14"/>
  <c r="M15" i="14"/>
  <c r="O15" i="14"/>
  <c r="O24" i="14" s="1"/>
  <c r="S15" i="14"/>
  <c r="U15" i="14"/>
  <c r="Y15" i="14"/>
  <c r="AA15" i="14"/>
  <c r="AB15" i="14" s="1"/>
  <c r="G16" i="14"/>
  <c r="I16" i="14"/>
  <c r="M16" i="14"/>
  <c r="O16" i="14" s="1"/>
  <c r="S16" i="14"/>
  <c r="U16" i="14"/>
  <c r="Y16" i="14"/>
  <c r="AA16" i="14" s="1"/>
  <c r="G17" i="14"/>
  <c r="I17" i="14"/>
  <c r="M17" i="14"/>
  <c r="O17" i="14"/>
  <c r="S17" i="14"/>
  <c r="U17" i="14"/>
  <c r="Y17" i="14"/>
  <c r="AA17" i="14"/>
  <c r="AB17" i="14"/>
  <c r="G18" i="14"/>
  <c r="I18" i="14" s="1"/>
  <c r="I24" i="14" s="1"/>
  <c r="M18" i="14"/>
  <c r="O18" i="14"/>
  <c r="Q18" i="14"/>
  <c r="S18" i="14" s="1"/>
  <c r="U18" i="14" s="1"/>
  <c r="W18" i="14"/>
  <c r="W24" i="14" s="1"/>
  <c r="Y18" i="14"/>
  <c r="AA18" i="14" s="1"/>
  <c r="AB18" i="14" s="1"/>
  <c r="G19" i="14"/>
  <c r="I19" i="14"/>
  <c r="M19" i="14"/>
  <c r="O19" i="14"/>
  <c r="R19" i="14"/>
  <c r="R24" i="14" s="1"/>
  <c r="R40" i="14" s="1"/>
  <c r="S19" i="14"/>
  <c r="U19" i="14" s="1"/>
  <c r="Y19" i="14"/>
  <c r="AA19" i="14"/>
  <c r="AB19" i="14"/>
  <c r="G20" i="14"/>
  <c r="I20" i="14"/>
  <c r="M20" i="14"/>
  <c r="O20" i="14"/>
  <c r="S20" i="14"/>
  <c r="U20" i="14"/>
  <c r="Y20" i="14"/>
  <c r="AA20" i="14"/>
  <c r="AB20" i="14" s="1"/>
  <c r="F21" i="14"/>
  <c r="F24" i="14" s="1"/>
  <c r="G21" i="14"/>
  <c r="I21" i="14"/>
  <c r="M21" i="14"/>
  <c r="O21" i="14"/>
  <c r="R21" i="14"/>
  <c r="S21" i="14"/>
  <c r="U21" i="14" s="1"/>
  <c r="Y21" i="14"/>
  <c r="AA21" i="14"/>
  <c r="AB21" i="14"/>
  <c r="G22" i="14"/>
  <c r="I22" i="14"/>
  <c r="M22" i="14"/>
  <c r="O22" i="14"/>
  <c r="S22" i="14"/>
  <c r="U22" i="14"/>
  <c r="Y22" i="14"/>
  <c r="AA22" i="14"/>
  <c r="AB22" i="14" s="1"/>
  <c r="G23" i="14"/>
  <c r="I23" i="14"/>
  <c r="M23" i="14"/>
  <c r="O23" i="14" s="1"/>
  <c r="S23" i="14"/>
  <c r="U23" i="14"/>
  <c r="Y23" i="14"/>
  <c r="AA23" i="14" s="1"/>
  <c r="D24" i="14"/>
  <c r="G24" i="14" s="1"/>
  <c r="E24" i="14"/>
  <c r="H24" i="14"/>
  <c r="J24" i="14"/>
  <c r="K24" i="14"/>
  <c r="L24" i="14"/>
  <c r="M24" i="14"/>
  <c r="M40" i="14" s="1"/>
  <c r="N24" i="14"/>
  <c r="P24" i="14"/>
  <c r="S24" i="14" s="1"/>
  <c r="Q24" i="14"/>
  <c r="Q40" i="14" s="1"/>
  <c r="T24" i="14"/>
  <c r="V24" i="14"/>
  <c r="X24" i="14"/>
  <c r="Z24" i="14"/>
  <c r="G28" i="14"/>
  <c r="I28" i="14" s="1"/>
  <c r="M28" i="14"/>
  <c r="O28" i="14"/>
  <c r="S28" i="14"/>
  <c r="U28" i="14" s="1"/>
  <c r="Y28" i="14"/>
  <c r="AA28" i="14"/>
  <c r="AB28" i="14"/>
  <c r="E29" i="14"/>
  <c r="G29" i="14"/>
  <c r="I29" i="14"/>
  <c r="M29" i="14"/>
  <c r="O29" i="14" s="1"/>
  <c r="S29" i="14"/>
  <c r="U29" i="14"/>
  <c r="Y29" i="14"/>
  <c r="AA29" i="14" s="1"/>
  <c r="G30" i="14"/>
  <c r="I30" i="14"/>
  <c r="M30" i="14"/>
  <c r="O30" i="14"/>
  <c r="S30" i="14"/>
  <c r="U30" i="14"/>
  <c r="Y30" i="14"/>
  <c r="AA30" i="14"/>
  <c r="AB30" i="14"/>
  <c r="E31" i="14"/>
  <c r="G31" i="14" s="1"/>
  <c r="I31" i="14" s="1"/>
  <c r="M31" i="14"/>
  <c r="O31" i="14"/>
  <c r="Q31" i="14"/>
  <c r="S31" i="14"/>
  <c r="U31" i="14"/>
  <c r="Y31" i="14"/>
  <c r="AA31" i="14" s="1"/>
  <c r="AB31" i="14" s="1"/>
  <c r="F32" i="14"/>
  <c r="M32" i="14"/>
  <c r="O32" i="14"/>
  <c r="R32" i="14"/>
  <c r="S32" i="14"/>
  <c r="U32" i="14"/>
  <c r="W32" i="14"/>
  <c r="Y32" i="14" s="1"/>
  <c r="AA32" i="14" s="1"/>
  <c r="AB32" i="14" s="1"/>
  <c r="E33" i="14"/>
  <c r="G33" i="14" s="1"/>
  <c r="I33" i="14" s="1"/>
  <c r="M33" i="14"/>
  <c r="O33" i="14"/>
  <c r="S33" i="14"/>
  <c r="U33" i="14"/>
  <c r="Y33" i="14"/>
  <c r="AA33" i="14"/>
  <c r="AB33" i="14" s="1"/>
  <c r="E34" i="14"/>
  <c r="F34" i="14"/>
  <c r="G34" i="14"/>
  <c r="I34" i="14" s="1"/>
  <c r="M34" i="14"/>
  <c r="O34" i="14"/>
  <c r="S34" i="14"/>
  <c r="U34" i="14" s="1"/>
  <c r="W34" i="14"/>
  <c r="Y34" i="14"/>
  <c r="AA34" i="14"/>
  <c r="AB34" i="14" s="1"/>
  <c r="E35" i="14"/>
  <c r="F35" i="14"/>
  <c r="F39" i="14" s="1"/>
  <c r="G35" i="14"/>
  <c r="I35" i="14" s="1"/>
  <c r="M35" i="14"/>
  <c r="O35" i="14"/>
  <c r="Q35" i="14"/>
  <c r="S35" i="14" s="1"/>
  <c r="U35" i="14" s="1"/>
  <c r="Y35" i="14"/>
  <c r="AA35" i="14"/>
  <c r="AB35" i="14" s="1"/>
  <c r="G36" i="14"/>
  <c r="I36" i="14"/>
  <c r="M36" i="14"/>
  <c r="O36" i="14" s="1"/>
  <c r="S36" i="14"/>
  <c r="U36" i="14"/>
  <c r="Y36" i="14"/>
  <c r="AA36" i="14" s="1"/>
  <c r="G37" i="14"/>
  <c r="I37" i="14"/>
  <c r="M37" i="14"/>
  <c r="O37" i="14"/>
  <c r="S37" i="14"/>
  <c r="U37" i="14"/>
  <c r="Y37" i="14"/>
  <c r="AA37" i="14"/>
  <c r="AB37" i="14"/>
  <c r="E38" i="14"/>
  <c r="G38" i="14" s="1"/>
  <c r="I38" i="14" s="1"/>
  <c r="M38" i="14"/>
  <c r="O38" i="14"/>
  <c r="S38" i="14"/>
  <c r="U38" i="14"/>
  <c r="W38" i="14"/>
  <c r="W39" i="14" s="1"/>
  <c r="Y39" i="14" s="1"/>
  <c r="Y38" i="14"/>
  <c r="AA38" i="14" s="1"/>
  <c r="AB38" i="14" s="1"/>
  <c r="D39" i="14"/>
  <c r="H39" i="14"/>
  <c r="J39" i="14"/>
  <c r="K39" i="14"/>
  <c r="L39" i="14"/>
  <c r="M39" i="14"/>
  <c r="N39" i="14"/>
  <c r="P39" i="14"/>
  <c r="S39" i="14" s="1"/>
  <c r="Q39" i="14"/>
  <c r="R39" i="14"/>
  <c r="T39" i="14"/>
  <c r="V39" i="14"/>
  <c r="X39" i="14"/>
  <c r="Z39" i="14"/>
  <c r="D40" i="14"/>
  <c r="H40" i="14"/>
  <c r="J40" i="14"/>
  <c r="K40" i="14"/>
  <c r="L40" i="14"/>
  <c r="N40" i="14"/>
  <c r="P40" i="14"/>
  <c r="T40" i="14"/>
  <c r="V40" i="14"/>
  <c r="X40" i="14"/>
  <c r="Z40" i="14"/>
  <c r="D50" i="14"/>
  <c r="E50" i="14"/>
  <c r="F50" i="14"/>
  <c r="J50" i="14"/>
  <c r="K50" i="14"/>
  <c r="L50" i="14"/>
  <c r="P50" i="14"/>
  <c r="Q50" i="14"/>
  <c r="R50" i="14"/>
  <c r="V50" i="14"/>
  <c r="W50" i="14"/>
  <c r="X50" i="14"/>
  <c r="G51" i="14"/>
  <c r="G50" i="14" s="1"/>
  <c r="M51" i="14"/>
  <c r="M50" i="14" s="1"/>
  <c r="S51" i="14"/>
  <c r="S50" i="14" s="1"/>
  <c r="Y51" i="14"/>
  <c r="Y50" i="14" s="1"/>
  <c r="G52" i="14"/>
  <c r="M52" i="14"/>
  <c r="S52" i="14"/>
  <c r="Y52" i="14"/>
  <c r="G53" i="14"/>
  <c r="M53" i="14"/>
  <c r="S53" i="14"/>
  <c r="Y53" i="14"/>
  <c r="G54" i="14"/>
  <c r="M54" i="14"/>
  <c r="S54" i="14"/>
  <c r="Y54" i="14"/>
  <c r="AA41" i="16" l="1"/>
  <c r="AB41" i="16" s="1"/>
  <c r="AB40" i="16"/>
  <c r="I40" i="15"/>
  <c r="I41" i="15" s="1"/>
  <c r="AB24" i="15"/>
  <c r="AA40" i="15"/>
  <c r="U40" i="15"/>
  <c r="U41" i="15" s="1"/>
  <c r="AB39" i="15"/>
  <c r="W40" i="14"/>
  <c r="Y24" i="14"/>
  <c r="Y40" i="14" s="1"/>
  <c r="U39" i="14"/>
  <c r="S40" i="14"/>
  <c r="F40" i="14"/>
  <c r="U24" i="14"/>
  <c r="U40" i="14" s="1"/>
  <c r="U41" i="14" s="1"/>
  <c r="AB36" i="14"/>
  <c r="O39" i="14"/>
  <c r="O40" i="14" s="1"/>
  <c r="O41" i="14" s="1"/>
  <c r="AB29" i="14"/>
  <c r="AB23" i="14"/>
  <c r="AB16" i="14"/>
  <c r="AA24" i="14"/>
  <c r="E32" i="14"/>
  <c r="AA39" i="14"/>
  <c r="AB39" i="14" s="1"/>
  <c r="G15" i="13"/>
  <c r="I15" i="13" s="1"/>
  <c r="M15" i="13"/>
  <c r="O15" i="13"/>
  <c r="S15" i="13"/>
  <c r="U15" i="13" s="1"/>
  <c r="Y15" i="13"/>
  <c r="AA15" i="13" s="1"/>
  <c r="AB15" i="13" s="1"/>
  <c r="G16" i="13"/>
  <c r="I16" i="13"/>
  <c r="M16" i="13"/>
  <c r="O16" i="13"/>
  <c r="S16" i="13"/>
  <c r="U16" i="13"/>
  <c r="Y16" i="13"/>
  <c r="AA16" i="13"/>
  <c r="AB16" i="13" s="1"/>
  <c r="G17" i="13"/>
  <c r="I17" i="13"/>
  <c r="M17" i="13"/>
  <c r="O17" i="13" s="1"/>
  <c r="S17" i="13"/>
  <c r="U17" i="13"/>
  <c r="Y17" i="13"/>
  <c r="AA17" i="13" s="1"/>
  <c r="G18" i="13"/>
  <c r="I18" i="13"/>
  <c r="M18" i="13"/>
  <c r="O18" i="13"/>
  <c r="S18" i="13"/>
  <c r="U18" i="13"/>
  <c r="Y18" i="13"/>
  <c r="AA18" i="13"/>
  <c r="AB18" i="13" s="1"/>
  <c r="G19" i="13"/>
  <c r="I19" i="13" s="1"/>
  <c r="M19" i="13"/>
  <c r="O19" i="13"/>
  <c r="S19" i="13"/>
  <c r="U19" i="13" s="1"/>
  <c r="Y19" i="13"/>
  <c r="AA19" i="13"/>
  <c r="AB19" i="13"/>
  <c r="G20" i="13"/>
  <c r="I20" i="13"/>
  <c r="M20" i="13"/>
  <c r="O20" i="13"/>
  <c r="S20" i="13"/>
  <c r="U20" i="13"/>
  <c r="Y20" i="13"/>
  <c r="AA20" i="13"/>
  <c r="AB20" i="13" s="1"/>
  <c r="G21" i="13"/>
  <c r="I21" i="13"/>
  <c r="M21" i="13"/>
  <c r="O21" i="13" s="1"/>
  <c r="S21" i="13"/>
  <c r="U21" i="13" s="1"/>
  <c r="Y21" i="13"/>
  <c r="AA21" i="13" s="1"/>
  <c r="G22" i="13"/>
  <c r="I22" i="13"/>
  <c r="M22" i="13"/>
  <c r="O22" i="13"/>
  <c r="S22" i="13"/>
  <c r="U22" i="13"/>
  <c r="Y22" i="13"/>
  <c r="AA22" i="13"/>
  <c r="AB22" i="13"/>
  <c r="G23" i="13"/>
  <c r="I23" i="13" s="1"/>
  <c r="M23" i="13"/>
  <c r="O23" i="13"/>
  <c r="S23" i="13"/>
  <c r="U23" i="13" s="1"/>
  <c r="Y23" i="13"/>
  <c r="AA23" i="13" s="1"/>
  <c r="AB23" i="13" s="1"/>
  <c r="D24" i="13"/>
  <c r="G24" i="13" s="1"/>
  <c r="E24" i="13"/>
  <c r="F24" i="13"/>
  <c r="H24" i="13"/>
  <c r="H40" i="13" s="1"/>
  <c r="J24" i="13"/>
  <c r="J40" i="13" s="1"/>
  <c r="K24" i="13"/>
  <c r="L24" i="13"/>
  <c r="N24" i="13"/>
  <c r="N40" i="13" s="1"/>
  <c r="P24" i="13"/>
  <c r="S24" i="13" s="1"/>
  <c r="Q24" i="13"/>
  <c r="R24" i="13"/>
  <c r="R40" i="13" s="1"/>
  <c r="T24" i="13"/>
  <c r="V24" i="13"/>
  <c r="W24" i="13"/>
  <c r="X24" i="13"/>
  <c r="X40" i="13" s="1"/>
  <c r="Z24" i="13"/>
  <c r="G28" i="13"/>
  <c r="I28" i="13"/>
  <c r="M28" i="13"/>
  <c r="O28" i="13" s="1"/>
  <c r="S28" i="13"/>
  <c r="U28" i="13" s="1"/>
  <c r="Y28" i="13"/>
  <c r="AA28" i="13" s="1"/>
  <c r="G29" i="13"/>
  <c r="I29" i="13"/>
  <c r="M29" i="13"/>
  <c r="O29" i="13"/>
  <c r="S29" i="13"/>
  <c r="U29" i="13"/>
  <c r="Y29" i="13"/>
  <c r="AA29" i="13"/>
  <c r="AB29" i="13"/>
  <c r="G30" i="13"/>
  <c r="I30" i="13" s="1"/>
  <c r="M30" i="13"/>
  <c r="O30" i="13"/>
  <c r="S30" i="13"/>
  <c r="U30" i="13" s="1"/>
  <c r="Y30" i="13"/>
  <c r="AA30" i="13" s="1"/>
  <c r="AB30" i="13" s="1"/>
  <c r="G31" i="13"/>
  <c r="I31" i="13"/>
  <c r="M31" i="13"/>
  <c r="O31" i="13"/>
  <c r="S31" i="13"/>
  <c r="U31" i="13"/>
  <c r="Y31" i="13"/>
  <c r="AA31" i="13"/>
  <c r="AB31" i="13" s="1"/>
  <c r="G32" i="13"/>
  <c r="I32" i="13"/>
  <c r="M32" i="13"/>
  <c r="O32" i="13" s="1"/>
  <c r="S32" i="13"/>
  <c r="U32" i="13"/>
  <c r="Y32" i="13"/>
  <c r="AA32" i="13" s="1"/>
  <c r="AB32" i="13" s="1"/>
  <c r="E33" i="13"/>
  <c r="G33" i="13" s="1"/>
  <c r="I33" i="13" s="1"/>
  <c r="M33" i="13"/>
  <c r="O33" i="13"/>
  <c r="S33" i="13"/>
  <c r="U33" i="13" s="1"/>
  <c r="Y33" i="13"/>
  <c r="AA33" i="13"/>
  <c r="G34" i="13"/>
  <c r="I34" i="13"/>
  <c r="M34" i="13"/>
  <c r="O34" i="13" s="1"/>
  <c r="S34" i="13"/>
  <c r="U34" i="13"/>
  <c r="Y34" i="13"/>
  <c r="AA34" i="13" s="1"/>
  <c r="AB34" i="13" s="1"/>
  <c r="G35" i="13"/>
  <c r="I35" i="13"/>
  <c r="M35" i="13"/>
  <c r="O35" i="13" s="1"/>
  <c r="S35" i="13"/>
  <c r="U35" i="13" s="1"/>
  <c r="Y35" i="13"/>
  <c r="AA35" i="13" s="1"/>
  <c r="G36" i="13"/>
  <c r="I36" i="13" s="1"/>
  <c r="M36" i="13"/>
  <c r="O36" i="13" s="1"/>
  <c r="S36" i="13"/>
  <c r="U36" i="13" s="1"/>
  <c r="Y36" i="13"/>
  <c r="AA36" i="13"/>
  <c r="AB36" i="13" s="1"/>
  <c r="G37" i="13"/>
  <c r="I37" i="13" s="1"/>
  <c r="M37" i="13"/>
  <c r="O37" i="13"/>
  <c r="S37" i="13"/>
  <c r="U37" i="13" s="1"/>
  <c r="Y37" i="13"/>
  <c r="AA37" i="13"/>
  <c r="G38" i="13"/>
  <c r="I38" i="13" s="1"/>
  <c r="M38" i="13"/>
  <c r="O38" i="13" s="1"/>
  <c r="S38" i="13"/>
  <c r="U38" i="13"/>
  <c r="Y38" i="13"/>
  <c r="AA38" i="13" s="1"/>
  <c r="D39" i="13"/>
  <c r="E39" i="13"/>
  <c r="E40" i="13" s="1"/>
  <c r="F39" i="13"/>
  <c r="H39" i="13"/>
  <c r="J39" i="13"/>
  <c r="M39" i="13" s="1"/>
  <c r="K39" i="13"/>
  <c r="L39" i="13"/>
  <c r="L40" i="13" s="1"/>
  <c r="N39" i="13"/>
  <c r="P39" i="13"/>
  <c r="Q39" i="13"/>
  <c r="Q40" i="13" s="1"/>
  <c r="R39" i="13"/>
  <c r="T39" i="13"/>
  <c r="V39" i="13"/>
  <c r="Y39" i="13" s="1"/>
  <c r="W39" i="13"/>
  <c r="X39" i="13"/>
  <c r="Z39" i="13"/>
  <c r="D40" i="13"/>
  <c r="P40" i="13"/>
  <c r="T40" i="13"/>
  <c r="D44" i="13"/>
  <c r="P44" i="13"/>
  <c r="V44" i="13"/>
  <c r="D50" i="13"/>
  <c r="E50" i="13"/>
  <c r="F50" i="13"/>
  <c r="G50" i="13"/>
  <c r="J50" i="13" s="1"/>
  <c r="M50" i="13" s="1"/>
  <c r="K50" i="13"/>
  <c r="L50" i="13"/>
  <c r="P50" i="13"/>
  <c r="S50" i="13" s="1"/>
  <c r="Q50" i="13"/>
  <c r="R50" i="13"/>
  <c r="V50" i="13"/>
  <c r="Y50" i="13" s="1"/>
  <c r="W50" i="13"/>
  <c r="X50" i="13"/>
  <c r="G51" i="13"/>
  <c r="J51" i="13" s="1"/>
  <c r="M51" i="13" s="1"/>
  <c r="S51" i="13"/>
  <c r="Y51" i="13"/>
  <c r="G52" i="13"/>
  <c r="J52" i="13"/>
  <c r="M52" i="13"/>
  <c r="S52" i="13"/>
  <c r="Y52" i="13"/>
  <c r="G53" i="13"/>
  <c r="J53" i="13"/>
  <c r="M53" i="13" s="1"/>
  <c r="S53" i="13"/>
  <c r="Y53" i="13"/>
  <c r="G54" i="13"/>
  <c r="J54" i="13" s="1"/>
  <c r="M54" i="13" s="1"/>
  <c r="S54" i="13"/>
  <c r="Y54" i="13"/>
  <c r="AB40" i="15" l="1"/>
  <c r="AA41" i="15"/>
  <c r="AB41" i="15" s="1"/>
  <c r="AB24" i="14"/>
  <c r="AA40" i="14"/>
  <c r="G32" i="14"/>
  <c r="I32" i="14" s="1"/>
  <c r="I39" i="14" s="1"/>
  <c r="I40" i="14" s="1"/>
  <c r="I41" i="14" s="1"/>
  <c r="E39" i="14"/>
  <c r="S39" i="13"/>
  <c r="AB37" i="13"/>
  <c r="I39" i="13"/>
  <c r="O39" i="13"/>
  <c r="U24" i="13"/>
  <c r="G39" i="13"/>
  <c r="AB33" i="13"/>
  <c r="W40" i="13"/>
  <c r="V40" i="13"/>
  <c r="K40" i="13"/>
  <c r="F40" i="13"/>
  <c r="Z40" i="13"/>
  <c r="S40" i="13"/>
  <c r="U39" i="13"/>
  <c r="AA39" i="13"/>
  <c r="AB35" i="13"/>
  <c r="AB28" i="13"/>
  <c r="G40" i="13"/>
  <c r="AB21" i="13"/>
  <c r="AB38" i="13"/>
  <c r="O24" i="13"/>
  <c r="U40" i="13"/>
  <c r="U41" i="13" s="1"/>
  <c r="AA24" i="13"/>
  <c r="AB17" i="13"/>
  <c r="I24" i="13"/>
  <c r="Y24" i="13"/>
  <c r="Y40" i="13" s="1"/>
  <c r="M24" i="13"/>
  <c r="M40" i="13" s="1"/>
  <c r="G15" i="12"/>
  <c r="I15" i="12"/>
  <c r="M15" i="12"/>
  <c r="O15" i="12"/>
  <c r="O24" i="12" s="1"/>
  <c r="S15" i="12"/>
  <c r="U15" i="12"/>
  <c r="V15" i="12"/>
  <c r="Y15" i="12" s="1"/>
  <c r="AA15" i="12" s="1"/>
  <c r="W15" i="12"/>
  <c r="W24" i="12" s="1"/>
  <c r="W40" i="12" s="1"/>
  <c r="G16" i="12"/>
  <c r="I16" i="12" s="1"/>
  <c r="M16" i="12"/>
  <c r="O16" i="12"/>
  <c r="S16" i="12"/>
  <c r="U16" i="12" s="1"/>
  <c r="U24" i="12" s="1"/>
  <c r="V16" i="12"/>
  <c r="Y16" i="12" s="1"/>
  <c r="AA16" i="12" s="1"/>
  <c r="AB16" i="12" s="1"/>
  <c r="W16" i="12"/>
  <c r="X16" i="12"/>
  <c r="X24" i="12" s="1"/>
  <c r="Z16" i="12"/>
  <c r="G17" i="12"/>
  <c r="I17" i="12"/>
  <c r="M17" i="12"/>
  <c r="O17" i="12"/>
  <c r="S17" i="12"/>
  <c r="U17" i="12"/>
  <c r="V17" i="12"/>
  <c r="Y17" i="12" s="1"/>
  <c r="AA17" i="12" s="1"/>
  <c r="AB17" i="12" s="1"/>
  <c r="W17" i="12"/>
  <c r="X17" i="12"/>
  <c r="Z17" i="12"/>
  <c r="G18" i="12"/>
  <c r="I18" i="12"/>
  <c r="M18" i="12"/>
  <c r="O18" i="12" s="1"/>
  <c r="S18" i="12"/>
  <c r="U18" i="12"/>
  <c r="V18" i="12"/>
  <c r="Y18" i="12" s="1"/>
  <c r="AA18" i="12" s="1"/>
  <c r="AB18" i="12" s="1"/>
  <c r="X18" i="12"/>
  <c r="Z18" i="12"/>
  <c r="G19" i="12"/>
  <c r="I19" i="12"/>
  <c r="M19" i="12"/>
  <c r="O19" i="12" s="1"/>
  <c r="S19" i="12"/>
  <c r="U19" i="12"/>
  <c r="V19" i="12"/>
  <c r="Y19" i="12" s="1"/>
  <c r="AA19" i="12" s="1"/>
  <c r="AB19" i="12" s="1"/>
  <c r="W19" i="12"/>
  <c r="Z19" i="12"/>
  <c r="I20" i="12"/>
  <c r="M20" i="12"/>
  <c r="O20" i="12"/>
  <c r="S20" i="12"/>
  <c r="U20" i="12"/>
  <c r="V20" i="12"/>
  <c r="Y20" i="12" s="1"/>
  <c r="AA20" i="12" s="1"/>
  <c r="AB20" i="12" s="1"/>
  <c r="W20" i="12"/>
  <c r="Z20" i="12"/>
  <c r="G21" i="12"/>
  <c r="I21" i="12" s="1"/>
  <c r="M21" i="12"/>
  <c r="O21" i="12"/>
  <c r="S21" i="12"/>
  <c r="U21" i="12" s="1"/>
  <c r="V21" i="12"/>
  <c r="Y21" i="12" s="1"/>
  <c r="AA21" i="12" s="1"/>
  <c r="AB21" i="12" s="1"/>
  <c r="W21" i="12"/>
  <c r="G22" i="12"/>
  <c r="I22" i="12" s="1"/>
  <c r="M22" i="12"/>
  <c r="O22" i="12"/>
  <c r="S22" i="12"/>
  <c r="U22" i="12" s="1"/>
  <c r="V22" i="12"/>
  <c r="W22" i="12"/>
  <c r="Y22" i="12" s="1"/>
  <c r="AA22" i="12" s="1"/>
  <c r="AB22" i="12" s="1"/>
  <c r="X22" i="12"/>
  <c r="Z22" i="12"/>
  <c r="G23" i="12"/>
  <c r="I23" i="12" s="1"/>
  <c r="M23" i="12"/>
  <c r="O23" i="12"/>
  <c r="S23" i="12"/>
  <c r="U23" i="12" s="1"/>
  <c r="V23" i="12"/>
  <c r="Y23" i="12" s="1"/>
  <c r="AA23" i="12" s="1"/>
  <c r="AB23" i="12" s="1"/>
  <c r="W23" i="12"/>
  <c r="X23" i="12"/>
  <c r="Z23" i="12"/>
  <c r="D24" i="12"/>
  <c r="G24" i="12" s="1"/>
  <c r="E24" i="12"/>
  <c r="F24" i="12"/>
  <c r="H24" i="12"/>
  <c r="J24" i="12"/>
  <c r="M24" i="12" s="1"/>
  <c r="K24" i="12"/>
  <c r="L24" i="12"/>
  <c r="N24" i="12"/>
  <c r="N40" i="12" s="1"/>
  <c r="P24" i="12"/>
  <c r="Q24" i="12"/>
  <c r="S24" i="12" s="1"/>
  <c r="R24" i="12"/>
  <c r="R40" i="12" s="1"/>
  <c r="T24" i="12"/>
  <c r="V24" i="12"/>
  <c r="Z24" i="12"/>
  <c r="F28" i="12"/>
  <c r="G28" i="12"/>
  <c r="I28" i="12" s="1"/>
  <c r="M28" i="12"/>
  <c r="O28" i="12"/>
  <c r="S28" i="12"/>
  <c r="U28" i="12" s="1"/>
  <c r="V28" i="12"/>
  <c r="W28" i="12"/>
  <c r="Y28" i="12" s="1"/>
  <c r="AA28" i="12" s="1"/>
  <c r="AB28" i="12" s="1"/>
  <c r="X28" i="12"/>
  <c r="Z28" i="12"/>
  <c r="E29" i="12"/>
  <c r="F29" i="12" s="1"/>
  <c r="G29" i="12" s="1"/>
  <c r="I29" i="12" s="1"/>
  <c r="M29" i="12"/>
  <c r="O29" i="12"/>
  <c r="Q29" i="12"/>
  <c r="Q39" i="12" s="1"/>
  <c r="V29" i="12"/>
  <c r="Y29" i="12" s="1"/>
  <c r="AA29" i="12" s="1"/>
  <c r="AB29" i="12" s="1"/>
  <c r="X29" i="12"/>
  <c r="E30" i="12"/>
  <c r="F30" i="12" s="1"/>
  <c r="M30" i="12"/>
  <c r="O30" i="12" s="1"/>
  <c r="S30" i="12"/>
  <c r="U30" i="12"/>
  <c r="Y30" i="12"/>
  <c r="AA30" i="12" s="1"/>
  <c r="Z30" i="12"/>
  <c r="E31" i="12"/>
  <c r="F31" i="12" s="1"/>
  <c r="M31" i="12"/>
  <c r="O31" i="12" s="1"/>
  <c r="S31" i="12"/>
  <c r="U31" i="12"/>
  <c r="X31" i="12"/>
  <c r="Y31" i="12" s="1"/>
  <c r="AA31" i="12" s="1"/>
  <c r="AB31" i="12" s="1"/>
  <c r="H32" i="12"/>
  <c r="M32" i="12"/>
  <c r="O32" i="12"/>
  <c r="R32" i="12"/>
  <c r="D33" i="12"/>
  <c r="D32" i="12" s="1"/>
  <c r="E33" i="12"/>
  <c r="E32" i="12" s="1"/>
  <c r="M33" i="12"/>
  <c r="O33" i="12"/>
  <c r="Q33" i="12"/>
  <c r="Q32" i="12" s="1"/>
  <c r="V33" i="12"/>
  <c r="V32" i="12" s="1"/>
  <c r="X33" i="12"/>
  <c r="X32" i="12" s="1"/>
  <c r="Z33" i="12"/>
  <c r="Z32" i="12" s="1"/>
  <c r="Z39" i="12" s="1"/>
  <c r="G34" i="12"/>
  <c r="I34" i="12" s="1"/>
  <c r="M34" i="12"/>
  <c r="O34" i="12"/>
  <c r="S34" i="12"/>
  <c r="U34" i="12" s="1"/>
  <c r="W34" i="12"/>
  <c r="W32" i="12" s="1"/>
  <c r="W39" i="12" s="1"/>
  <c r="Y34" i="12"/>
  <c r="AA34" i="12" s="1"/>
  <c r="AB34" i="12" s="1"/>
  <c r="G35" i="12"/>
  <c r="I35" i="12"/>
  <c r="M35" i="12"/>
  <c r="O35" i="12"/>
  <c r="S35" i="12"/>
  <c r="U35" i="12"/>
  <c r="V35" i="12"/>
  <c r="W35" i="12"/>
  <c r="X35" i="12"/>
  <c r="Y35" i="12"/>
  <c r="AA35" i="12" s="1"/>
  <c r="Z35" i="12"/>
  <c r="G36" i="12"/>
  <c r="I36" i="12" s="1"/>
  <c r="M36" i="12"/>
  <c r="O36" i="12"/>
  <c r="S36" i="12"/>
  <c r="U36" i="12" s="1"/>
  <c r="W36" i="12"/>
  <c r="Y36" i="12"/>
  <c r="AA36" i="12" s="1"/>
  <c r="AB36" i="12" s="1"/>
  <c r="Z36" i="12"/>
  <c r="G37" i="12"/>
  <c r="I37" i="12"/>
  <c r="M37" i="12"/>
  <c r="O37" i="12"/>
  <c r="S37" i="12"/>
  <c r="U37" i="12"/>
  <c r="W37" i="12"/>
  <c r="Y37" i="12"/>
  <c r="Z37" i="12"/>
  <c r="AA37" i="12"/>
  <c r="AB37" i="12" s="1"/>
  <c r="G38" i="12"/>
  <c r="I38" i="12"/>
  <c r="M38" i="12"/>
  <c r="O38" i="12" s="1"/>
  <c r="O39" i="12" s="1"/>
  <c r="S38" i="12"/>
  <c r="U38" i="12"/>
  <c r="X38" i="12"/>
  <c r="Y38" i="12" s="1"/>
  <c r="AA38" i="12" s="1"/>
  <c r="AB38" i="12" s="1"/>
  <c r="H39" i="12"/>
  <c r="H40" i="12" s="1"/>
  <c r="J39" i="12"/>
  <c r="K39" i="12"/>
  <c r="M39" i="12" s="1"/>
  <c r="L39" i="12"/>
  <c r="L40" i="12" s="1"/>
  <c r="N39" i="12"/>
  <c r="R39" i="12"/>
  <c r="T39" i="12"/>
  <c r="T40" i="12" s="1"/>
  <c r="X39" i="12"/>
  <c r="K40" i="12"/>
  <c r="O40" i="12"/>
  <c r="O41" i="12" s="1"/>
  <c r="F50" i="12"/>
  <c r="J50" i="12"/>
  <c r="K50" i="12"/>
  <c r="L50" i="12"/>
  <c r="P50" i="12"/>
  <c r="Q50" i="12"/>
  <c r="R50" i="12"/>
  <c r="S50" i="12"/>
  <c r="V50" i="12"/>
  <c r="D51" i="12"/>
  <c r="G51" i="12" s="1"/>
  <c r="E51" i="12"/>
  <c r="E50" i="12" s="1"/>
  <c r="M51" i="12"/>
  <c r="M50" i="12" s="1"/>
  <c r="X51" i="12"/>
  <c r="X50" i="12" s="1"/>
  <c r="Y51" i="12"/>
  <c r="G52" i="12"/>
  <c r="M52" i="12"/>
  <c r="G53" i="12"/>
  <c r="M53" i="12"/>
  <c r="Y53" i="12"/>
  <c r="G54" i="12"/>
  <c r="M54" i="12"/>
  <c r="AB40" i="14" l="1"/>
  <c r="AA41" i="14"/>
  <c r="AB41" i="14" s="1"/>
  <c r="G39" i="14"/>
  <c r="G40" i="14" s="1"/>
  <c r="E40" i="14"/>
  <c r="AB39" i="13"/>
  <c r="I40" i="13"/>
  <c r="I41" i="13" s="1"/>
  <c r="O40" i="13"/>
  <c r="O41" i="13" s="1"/>
  <c r="AB24" i="13"/>
  <c r="AA40" i="13"/>
  <c r="X40" i="12"/>
  <c r="AA24" i="12"/>
  <c r="AB15" i="12"/>
  <c r="AB35" i="12"/>
  <c r="AB30" i="12"/>
  <c r="Z40" i="12"/>
  <c r="D39" i="12"/>
  <c r="Y24" i="12"/>
  <c r="Y40" i="12" s="1"/>
  <c r="M40" i="12"/>
  <c r="I24" i="12"/>
  <c r="W52" i="12"/>
  <c r="D50" i="12"/>
  <c r="G50" i="12" s="1"/>
  <c r="P33" i="12"/>
  <c r="Q40" i="12"/>
  <c r="V39" i="12"/>
  <c r="Y39" i="12" s="1"/>
  <c r="F33" i="12"/>
  <c r="F32" i="12" s="1"/>
  <c r="F39" i="12" s="1"/>
  <c r="F40" i="12" s="1"/>
  <c r="G31" i="12"/>
  <c r="I31" i="12" s="1"/>
  <c r="G30" i="12"/>
  <c r="I30" i="12" s="1"/>
  <c r="J40" i="12"/>
  <c r="P29" i="12"/>
  <c r="E39" i="12"/>
  <c r="E40" i="12" s="1"/>
  <c r="Y33" i="12"/>
  <c r="G15" i="11"/>
  <c r="I15" i="11" s="1"/>
  <c r="M15" i="11"/>
  <c r="O15" i="11"/>
  <c r="S15" i="11"/>
  <c r="U15" i="11" s="1"/>
  <c r="Y15" i="11"/>
  <c r="AA15" i="11"/>
  <c r="AB15" i="11" s="1"/>
  <c r="G16" i="11"/>
  <c r="I16" i="11"/>
  <c r="M16" i="11"/>
  <c r="O16" i="11" s="1"/>
  <c r="S16" i="11"/>
  <c r="U16" i="11"/>
  <c r="Y16" i="11"/>
  <c r="AA16" i="11" s="1"/>
  <c r="AB16" i="11" s="1"/>
  <c r="G17" i="11"/>
  <c r="I17" i="11" s="1"/>
  <c r="M17" i="11"/>
  <c r="O17" i="11" s="1"/>
  <c r="S17" i="11"/>
  <c r="U17" i="11"/>
  <c r="Y17" i="11"/>
  <c r="AA17" i="11" s="1"/>
  <c r="G18" i="11"/>
  <c r="I18" i="11" s="1"/>
  <c r="M18" i="11"/>
  <c r="O18" i="11"/>
  <c r="S18" i="11"/>
  <c r="U18" i="11" s="1"/>
  <c r="Y18" i="11"/>
  <c r="AA18" i="11"/>
  <c r="AB18" i="11"/>
  <c r="G19" i="11"/>
  <c r="I19" i="11" s="1"/>
  <c r="M19" i="11"/>
  <c r="O19" i="11"/>
  <c r="S19" i="11"/>
  <c r="U19" i="11" s="1"/>
  <c r="Y19" i="11"/>
  <c r="AA19" i="11"/>
  <c r="AB19" i="11" s="1"/>
  <c r="G20" i="11"/>
  <c r="I20" i="11"/>
  <c r="M20" i="11"/>
  <c r="O20" i="11" s="1"/>
  <c r="S20" i="11"/>
  <c r="U20" i="11"/>
  <c r="Y20" i="11"/>
  <c r="AA20" i="11" s="1"/>
  <c r="G21" i="11"/>
  <c r="I21" i="11"/>
  <c r="M21" i="11"/>
  <c r="O21" i="11"/>
  <c r="S21" i="11"/>
  <c r="U21" i="11"/>
  <c r="Y21" i="11"/>
  <c r="AA21" i="11"/>
  <c r="AB21" i="11"/>
  <c r="G22" i="11"/>
  <c r="I22" i="11" s="1"/>
  <c r="M22" i="11"/>
  <c r="O22" i="11"/>
  <c r="S22" i="11"/>
  <c r="U22" i="11" s="1"/>
  <c r="Y22" i="11"/>
  <c r="AA22" i="11"/>
  <c r="AB22" i="11"/>
  <c r="G23" i="11"/>
  <c r="I23" i="11"/>
  <c r="M23" i="11"/>
  <c r="O23" i="11"/>
  <c r="S23" i="11"/>
  <c r="U23" i="11"/>
  <c r="Y23" i="11"/>
  <c r="AA23" i="11"/>
  <c r="AB23" i="11" s="1"/>
  <c r="D24" i="11"/>
  <c r="G24" i="11" s="1"/>
  <c r="E24" i="11"/>
  <c r="F24" i="11"/>
  <c r="F40" i="11" s="1"/>
  <c r="H24" i="11"/>
  <c r="J24" i="11"/>
  <c r="J40" i="11" s="1"/>
  <c r="K24" i="11"/>
  <c r="L24" i="11"/>
  <c r="N24" i="11"/>
  <c r="N40" i="11" s="1"/>
  <c r="P24" i="11"/>
  <c r="S24" i="11" s="1"/>
  <c r="Q24" i="11"/>
  <c r="R24" i="11"/>
  <c r="R40" i="11" s="1"/>
  <c r="T24" i="11"/>
  <c r="V24" i="11"/>
  <c r="V40" i="11" s="1"/>
  <c r="W24" i="11"/>
  <c r="X24" i="11"/>
  <c r="Z24" i="11"/>
  <c r="Z40" i="11" s="1"/>
  <c r="G28" i="11"/>
  <c r="I28" i="11"/>
  <c r="M28" i="11"/>
  <c r="O28" i="11"/>
  <c r="S28" i="11"/>
  <c r="U28" i="11"/>
  <c r="Y28" i="11"/>
  <c r="AA28" i="11"/>
  <c r="AB28" i="11"/>
  <c r="G29" i="11"/>
  <c r="I29" i="11" s="1"/>
  <c r="M29" i="11"/>
  <c r="O29" i="11"/>
  <c r="S29" i="11"/>
  <c r="U29" i="11" s="1"/>
  <c r="Y29" i="11"/>
  <c r="AA29" i="11"/>
  <c r="AB29" i="11"/>
  <c r="G30" i="11"/>
  <c r="I30" i="11"/>
  <c r="M30" i="11"/>
  <c r="O30" i="11"/>
  <c r="S30" i="11"/>
  <c r="U30" i="11"/>
  <c r="Y30" i="11"/>
  <c r="AA30" i="11"/>
  <c r="AB30" i="11" s="1"/>
  <c r="G31" i="11"/>
  <c r="I31" i="11"/>
  <c r="M31" i="11"/>
  <c r="O31" i="11" s="1"/>
  <c r="S31" i="11"/>
  <c r="U31" i="11"/>
  <c r="Y31" i="11"/>
  <c r="AA31" i="11" s="1"/>
  <c r="G32" i="11"/>
  <c r="I32" i="11"/>
  <c r="M32" i="11"/>
  <c r="O32" i="11"/>
  <c r="S32" i="11"/>
  <c r="U32" i="11"/>
  <c r="Y32" i="11"/>
  <c r="AA32" i="11"/>
  <c r="AB32" i="11"/>
  <c r="G33" i="11"/>
  <c r="I33" i="11" s="1"/>
  <c r="M33" i="11"/>
  <c r="O33" i="11"/>
  <c r="S33" i="11"/>
  <c r="U33" i="11" s="1"/>
  <c r="Y33" i="11"/>
  <c r="AA33" i="11"/>
  <c r="AA39" i="11" s="1"/>
  <c r="AB39" i="11" s="1"/>
  <c r="AB33" i="11"/>
  <c r="G34" i="11"/>
  <c r="I34" i="11"/>
  <c r="M34" i="11"/>
  <c r="O34" i="11"/>
  <c r="S34" i="11"/>
  <c r="U34" i="11"/>
  <c r="Y34" i="11"/>
  <c r="AA34" i="11"/>
  <c r="AB34" i="11" s="1"/>
  <c r="G35" i="11"/>
  <c r="I35" i="11"/>
  <c r="M35" i="11"/>
  <c r="O35" i="11" s="1"/>
  <c r="O39" i="11" s="1"/>
  <c r="S35" i="11"/>
  <c r="U35" i="11"/>
  <c r="Y35" i="11"/>
  <c r="AA35" i="11" s="1"/>
  <c r="G36" i="11"/>
  <c r="I36" i="11"/>
  <c r="M36" i="11"/>
  <c r="O36" i="11"/>
  <c r="S36" i="11"/>
  <c r="U36" i="11"/>
  <c r="Y36" i="11"/>
  <c r="AA36" i="11"/>
  <c r="AB36" i="11"/>
  <c r="G37" i="11"/>
  <c r="I37" i="11" s="1"/>
  <c r="M37" i="11"/>
  <c r="O37" i="11"/>
  <c r="S37" i="11"/>
  <c r="U37" i="11" s="1"/>
  <c r="Y37" i="11"/>
  <c r="AA37" i="11"/>
  <c r="W52" i="11" s="1"/>
  <c r="AB37" i="11"/>
  <c r="G38" i="11"/>
  <c r="I38" i="11"/>
  <c r="M38" i="11"/>
  <c r="O38" i="11"/>
  <c r="S38" i="11"/>
  <c r="U38" i="11"/>
  <c r="Y38" i="11"/>
  <c r="AA38" i="11"/>
  <c r="AB38" i="11" s="1"/>
  <c r="D39" i="11"/>
  <c r="G39" i="11" s="1"/>
  <c r="E39" i="11"/>
  <c r="F39" i="11"/>
  <c r="H39" i="11"/>
  <c r="J39" i="11"/>
  <c r="M39" i="11" s="1"/>
  <c r="K39" i="11"/>
  <c r="L39" i="11"/>
  <c r="N39" i="11"/>
  <c r="P39" i="11"/>
  <c r="S39" i="11" s="1"/>
  <c r="Q39" i="11"/>
  <c r="R39" i="11"/>
  <c r="T39" i="11"/>
  <c r="V39" i="11"/>
  <c r="Y39" i="11" s="1"/>
  <c r="W39" i="11"/>
  <c r="X39" i="11"/>
  <c r="Z39" i="11"/>
  <c r="D40" i="11"/>
  <c r="E40" i="11"/>
  <c r="H40" i="11"/>
  <c r="K40" i="11"/>
  <c r="L40" i="11"/>
  <c r="P40" i="11"/>
  <c r="Q40" i="11"/>
  <c r="T40" i="11"/>
  <c r="W40" i="11"/>
  <c r="X40" i="11"/>
  <c r="D50" i="11"/>
  <c r="E50" i="11"/>
  <c r="F50" i="11"/>
  <c r="G50" i="11"/>
  <c r="J50" i="11"/>
  <c r="K50" i="11"/>
  <c r="L50" i="11"/>
  <c r="M50" i="11"/>
  <c r="X50" i="11"/>
  <c r="J51" i="11"/>
  <c r="K51" i="11"/>
  <c r="L51" i="11"/>
  <c r="M51" i="11"/>
  <c r="P51" i="11"/>
  <c r="P50" i="11" s="1"/>
  <c r="S51" i="11"/>
  <c r="V51" i="11"/>
  <c r="Y51" i="11"/>
  <c r="J52" i="11"/>
  <c r="K52" i="11"/>
  <c r="L52" i="11"/>
  <c r="M52" i="11"/>
  <c r="P52" i="11"/>
  <c r="Q52" i="11"/>
  <c r="Q50" i="11" s="1"/>
  <c r="R52" i="11"/>
  <c r="R50" i="11" s="1"/>
  <c r="S52" i="11"/>
  <c r="V52" i="11" s="1"/>
  <c r="J53" i="11"/>
  <c r="M53" i="11" s="1"/>
  <c r="K53" i="11"/>
  <c r="L53" i="11"/>
  <c r="Q53" i="11"/>
  <c r="S53" i="11" s="1"/>
  <c r="R53" i="11"/>
  <c r="Y53" i="11"/>
  <c r="J54" i="11"/>
  <c r="M54" i="11" s="1"/>
  <c r="K54" i="11"/>
  <c r="L54" i="11"/>
  <c r="P54" i="11"/>
  <c r="S54" i="11" s="1"/>
  <c r="V54" i="11" s="1"/>
  <c r="Y54" i="11" s="1"/>
  <c r="Q54" i="11"/>
  <c r="W54" i="11"/>
  <c r="AB40" i="13" l="1"/>
  <c r="AA41" i="13"/>
  <c r="AB41" i="13" s="1"/>
  <c r="I39" i="12"/>
  <c r="I40" i="12" s="1"/>
  <c r="I41" i="12" s="1"/>
  <c r="G33" i="12"/>
  <c r="I33" i="12" s="1"/>
  <c r="Y52" i="12"/>
  <c r="D40" i="12"/>
  <c r="G39" i="12"/>
  <c r="G40" i="12" s="1"/>
  <c r="S33" i="12"/>
  <c r="U33" i="12" s="1"/>
  <c r="U32" i="12" s="1"/>
  <c r="P32" i="12"/>
  <c r="S32" i="12" s="1"/>
  <c r="G32" i="12"/>
  <c r="I32" i="12" s="1"/>
  <c r="S29" i="12"/>
  <c r="U29" i="12" s="1"/>
  <c r="U39" i="12" s="1"/>
  <c r="U40" i="12" s="1"/>
  <c r="U41" i="12" s="1"/>
  <c r="P39" i="12"/>
  <c r="V40" i="12"/>
  <c r="AB24" i="12"/>
  <c r="Y32" i="12"/>
  <c r="AA33" i="12"/>
  <c r="S40" i="11"/>
  <c r="O24" i="11"/>
  <c r="O40" i="11" s="1"/>
  <c r="O41" i="11" s="1"/>
  <c r="G40" i="11"/>
  <c r="AB35" i="11"/>
  <c r="AB20" i="11"/>
  <c r="U24" i="11"/>
  <c r="Y52" i="11"/>
  <c r="W50" i="11"/>
  <c r="V50" i="11"/>
  <c r="U39" i="11"/>
  <c r="I39" i="11"/>
  <c r="AB31" i="11"/>
  <c r="AB17" i="11"/>
  <c r="I24" i="11"/>
  <c r="S50" i="11"/>
  <c r="Y24" i="11"/>
  <c r="Y40" i="11" s="1"/>
  <c r="M24" i="11"/>
  <c r="M40" i="11" s="1"/>
  <c r="AA24" i="11"/>
  <c r="G15" i="10"/>
  <c r="I15" i="10"/>
  <c r="M15" i="10"/>
  <c r="O15" i="10"/>
  <c r="S15" i="10"/>
  <c r="U15" i="10"/>
  <c r="Y15" i="10"/>
  <c r="AA15" i="10"/>
  <c r="AB15" i="10" s="1"/>
  <c r="G16" i="10"/>
  <c r="I16" i="10"/>
  <c r="M16" i="10"/>
  <c r="O16" i="10" s="1"/>
  <c r="S16" i="10"/>
  <c r="U16" i="10"/>
  <c r="Y16" i="10"/>
  <c r="AA16" i="10" s="1"/>
  <c r="AB16" i="10" s="1"/>
  <c r="G17" i="10"/>
  <c r="I17" i="10"/>
  <c r="M17" i="10"/>
  <c r="O17" i="10"/>
  <c r="S17" i="10"/>
  <c r="U17" i="10"/>
  <c r="U24" i="10" s="1"/>
  <c r="Y17" i="10"/>
  <c r="AA17" i="10"/>
  <c r="AB17" i="10"/>
  <c r="G18" i="10"/>
  <c r="I18" i="10" s="1"/>
  <c r="M18" i="10"/>
  <c r="O18" i="10"/>
  <c r="S18" i="10"/>
  <c r="U18" i="10" s="1"/>
  <c r="Y18" i="10"/>
  <c r="AA18" i="10"/>
  <c r="AB18" i="10"/>
  <c r="G19" i="10"/>
  <c r="I19" i="10"/>
  <c r="M19" i="10"/>
  <c r="O19" i="10"/>
  <c r="S19" i="10"/>
  <c r="U19" i="10"/>
  <c r="Y19" i="10"/>
  <c r="AA19" i="10"/>
  <c r="AB19" i="10" s="1"/>
  <c r="G20" i="10"/>
  <c r="I20" i="10"/>
  <c r="M20" i="10"/>
  <c r="O20" i="10" s="1"/>
  <c r="S20" i="10"/>
  <c r="U20" i="10"/>
  <c r="Y20" i="10"/>
  <c r="AA20" i="10" s="1"/>
  <c r="G21" i="10"/>
  <c r="I21" i="10"/>
  <c r="M21" i="10"/>
  <c r="O21" i="10"/>
  <c r="S21" i="10"/>
  <c r="U21" i="10"/>
  <c r="Y21" i="10"/>
  <c r="AA21" i="10"/>
  <c r="AB21" i="10"/>
  <c r="G22" i="10"/>
  <c r="I22" i="10" s="1"/>
  <c r="M22" i="10"/>
  <c r="O22" i="10"/>
  <c r="S22" i="10"/>
  <c r="U22" i="10" s="1"/>
  <c r="Y22" i="10"/>
  <c r="AA22" i="10"/>
  <c r="AB22" i="10"/>
  <c r="G23" i="10"/>
  <c r="I23" i="10"/>
  <c r="M23" i="10"/>
  <c r="O23" i="10"/>
  <c r="S23" i="10"/>
  <c r="U23" i="10"/>
  <c r="Y23" i="10"/>
  <c r="AA23" i="10"/>
  <c r="AB23" i="10" s="1"/>
  <c r="D24" i="10"/>
  <c r="G24" i="10" s="1"/>
  <c r="G40" i="10" s="1"/>
  <c r="E24" i="10"/>
  <c r="E40" i="10" s="1"/>
  <c r="F24" i="10"/>
  <c r="F40" i="10" s="1"/>
  <c r="H24" i="10"/>
  <c r="J24" i="10"/>
  <c r="J40" i="10" s="1"/>
  <c r="K24" i="10"/>
  <c r="L24" i="10"/>
  <c r="N24" i="10"/>
  <c r="N40" i="10" s="1"/>
  <c r="P24" i="10"/>
  <c r="S24" i="10" s="1"/>
  <c r="S40" i="10" s="1"/>
  <c r="Q24" i="10"/>
  <c r="Q40" i="10" s="1"/>
  <c r="R24" i="10"/>
  <c r="R40" i="10" s="1"/>
  <c r="T24" i="10"/>
  <c r="V24" i="10"/>
  <c r="V40" i="10" s="1"/>
  <c r="W24" i="10"/>
  <c r="X24" i="10"/>
  <c r="Z24" i="10"/>
  <c r="Z40" i="10" s="1"/>
  <c r="G28" i="10"/>
  <c r="I28" i="10"/>
  <c r="M28" i="10"/>
  <c r="O28" i="10"/>
  <c r="S28" i="10"/>
  <c r="U28" i="10"/>
  <c r="Y28" i="10"/>
  <c r="AA28" i="10"/>
  <c r="AB28" i="10"/>
  <c r="G29" i="10"/>
  <c r="I29" i="10" s="1"/>
  <c r="L29" i="10"/>
  <c r="M29" i="10"/>
  <c r="O29" i="10"/>
  <c r="S29" i="10"/>
  <c r="U29" i="10"/>
  <c r="Y29" i="10"/>
  <c r="AA29" i="10"/>
  <c r="AB29" i="10" s="1"/>
  <c r="G30" i="10"/>
  <c r="I30" i="10"/>
  <c r="M30" i="10"/>
  <c r="O30" i="10" s="1"/>
  <c r="S30" i="10"/>
  <c r="U30" i="10"/>
  <c r="Y30" i="10"/>
  <c r="AA30" i="10" s="1"/>
  <c r="G31" i="10"/>
  <c r="I31" i="10"/>
  <c r="L31" i="10"/>
  <c r="M31" i="10"/>
  <c r="O31" i="10"/>
  <c r="S31" i="10"/>
  <c r="U31" i="10" s="1"/>
  <c r="Y31" i="10"/>
  <c r="AA31" i="10"/>
  <c r="AB31" i="10"/>
  <c r="G32" i="10"/>
  <c r="I32" i="10"/>
  <c r="L32" i="10"/>
  <c r="M32" i="10"/>
  <c r="O32" i="10" s="1"/>
  <c r="S32" i="10"/>
  <c r="U32" i="10"/>
  <c r="Y32" i="10"/>
  <c r="AA32" i="10" s="1"/>
  <c r="G33" i="10"/>
  <c r="I33" i="10"/>
  <c r="M33" i="10"/>
  <c r="O33" i="10"/>
  <c r="S33" i="10"/>
  <c r="U33" i="10"/>
  <c r="Y33" i="10"/>
  <c r="AA33" i="10"/>
  <c r="AB33" i="10"/>
  <c r="G34" i="10"/>
  <c r="I34" i="10" s="1"/>
  <c r="M34" i="10"/>
  <c r="O34" i="10"/>
  <c r="S34" i="10"/>
  <c r="U34" i="10" s="1"/>
  <c r="Y34" i="10"/>
  <c r="AA34" i="10"/>
  <c r="AB34" i="10"/>
  <c r="G35" i="10"/>
  <c r="I35" i="10"/>
  <c r="L35" i="10"/>
  <c r="M35" i="10"/>
  <c r="O35" i="10" s="1"/>
  <c r="S35" i="10"/>
  <c r="U35" i="10"/>
  <c r="Y35" i="10"/>
  <c r="AA35" i="10" s="1"/>
  <c r="G36" i="10"/>
  <c r="I36" i="10"/>
  <c r="M36" i="10"/>
  <c r="O36" i="10"/>
  <c r="S36" i="10"/>
  <c r="U36" i="10"/>
  <c r="Y36" i="10"/>
  <c r="AA36" i="10"/>
  <c r="AB36" i="10"/>
  <c r="G37" i="10"/>
  <c r="I37" i="10" s="1"/>
  <c r="I39" i="10" s="1"/>
  <c r="M37" i="10"/>
  <c r="O37" i="10"/>
  <c r="S37" i="10"/>
  <c r="U37" i="10" s="1"/>
  <c r="Y37" i="10"/>
  <c r="AA37" i="10"/>
  <c r="AB37" i="10"/>
  <c r="G38" i="10"/>
  <c r="I38" i="10"/>
  <c r="L38" i="10"/>
  <c r="M38" i="10"/>
  <c r="O38" i="10" s="1"/>
  <c r="S38" i="10"/>
  <c r="U38" i="10"/>
  <c r="Y38" i="10"/>
  <c r="AA38" i="10" s="1"/>
  <c r="AB38" i="10" s="1"/>
  <c r="D39" i="10"/>
  <c r="G39" i="10" s="1"/>
  <c r="E39" i="10"/>
  <c r="F39" i="10"/>
  <c r="H39" i="10"/>
  <c r="J39" i="10"/>
  <c r="K39" i="10"/>
  <c r="L39" i="10"/>
  <c r="M39" i="10"/>
  <c r="N39" i="10"/>
  <c r="P39" i="10"/>
  <c r="S39" i="10" s="1"/>
  <c r="Q39" i="10"/>
  <c r="R39" i="10"/>
  <c r="T39" i="10"/>
  <c r="V39" i="10"/>
  <c r="W39" i="10"/>
  <c r="X39" i="10"/>
  <c r="Y39" i="10"/>
  <c r="Z39" i="10"/>
  <c r="D40" i="10"/>
  <c r="H40" i="10"/>
  <c r="K40" i="10"/>
  <c r="L40" i="10"/>
  <c r="P40" i="10"/>
  <c r="T40" i="10"/>
  <c r="W40" i="10"/>
  <c r="X40" i="10"/>
  <c r="H46" i="10"/>
  <c r="G50" i="10"/>
  <c r="M50" i="10"/>
  <c r="S50" i="10"/>
  <c r="Y50" i="10"/>
  <c r="G51" i="10"/>
  <c r="M51" i="10"/>
  <c r="S51" i="10"/>
  <c r="Y51" i="10"/>
  <c r="G52" i="10"/>
  <c r="M52" i="10"/>
  <c r="S52" i="10"/>
  <c r="Y52" i="10"/>
  <c r="G53" i="10"/>
  <c r="M53" i="10"/>
  <c r="S53" i="10"/>
  <c r="Y53" i="10"/>
  <c r="G54" i="10"/>
  <c r="M54" i="10"/>
  <c r="S54" i="10"/>
  <c r="Y54" i="10"/>
  <c r="AA32" i="12" l="1"/>
  <c r="W54" i="12"/>
  <c r="AB33" i="12"/>
  <c r="P40" i="12"/>
  <c r="S39" i="12"/>
  <c r="S40" i="12" s="1"/>
  <c r="AB24" i="11"/>
  <c r="AA40" i="11"/>
  <c r="I40" i="11"/>
  <c r="I41" i="11" s="1"/>
  <c r="U40" i="11"/>
  <c r="U41" i="11" s="1"/>
  <c r="Y50" i="11"/>
  <c r="AB20" i="10"/>
  <c r="I24" i="10"/>
  <c r="I40" i="10" s="1"/>
  <c r="I41" i="10" s="1"/>
  <c r="U39" i="10"/>
  <c r="O39" i="10"/>
  <c r="AB32" i="10"/>
  <c r="AB30" i="10"/>
  <c r="U40" i="10"/>
  <c r="U41" i="10" s="1"/>
  <c r="O24" i="10"/>
  <c r="AB35" i="10"/>
  <c r="AA39" i="10"/>
  <c r="Y24" i="10"/>
  <c r="Y40" i="10" s="1"/>
  <c r="M24" i="10"/>
  <c r="M40" i="10" s="1"/>
  <c r="AA24" i="10"/>
  <c r="G15" i="8"/>
  <c r="I15" i="8"/>
  <c r="M15" i="8"/>
  <c r="O15" i="8"/>
  <c r="S15" i="8"/>
  <c r="U15" i="8"/>
  <c r="Y15" i="8"/>
  <c r="AA15" i="8"/>
  <c r="AB15" i="8" s="1"/>
  <c r="G16" i="8"/>
  <c r="I16" i="8" s="1"/>
  <c r="M16" i="8"/>
  <c r="O16" i="8" s="1"/>
  <c r="S16" i="8"/>
  <c r="U16" i="8" s="1"/>
  <c r="Y16" i="8"/>
  <c r="AA16" i="8" s="1"/>
  <c r="G17" i="8"/>
  <c r="I17" i="8" s="1"/>
  <c r="M17" i="8"/>
  <c r="O17" i="8"/>
  <c r="S17" i="8"/>
  <c r="U17" i="8"/>
  <c r="Y17" i="8"/>
  <c r="AA17" i="8"/>
  <c r="AB17" i="8" s="1"/>
  <c r="G18" i="8"/>
  <c r="I18" i="8" s="1"/>
  <c r="M18" i="8"/>
  <c r="O18" i="8" s="1"/>
  <c r="S18" i="8"/>
  <c r="U18" i="8"/>
  <c r="Y18" i="8"/>
  <c r="AA18" i="8" s="1"/>
  <c r="AB18" i="8" s="1"/>
  <c r="G19" i="8"/>
  <c r="I19" i="8"/>
  <c r="M19" i="8"/>
  <c r="O19" i="8" s="1"/>
  <c r="AB19" i="8" s="1"/>
  <c r="S19" i="8"/>
  <c r="U19" i="8"/>
  <c r="Y19" i="8"/>
  <c r="AA19" i="8"/>
  <c r="I20" i="8"/>
  <c r="M20" i="8"/>
  <c r="O20" i="8" s="1"/>
  <c r="S20" i="8"/>
  <c r="U20" i="8"/>
  <c r="Y20" i="8"/>
  <c r="AA20" i="8" s="1"/>
  <c r="AB20" i="8" s="1"/>
  <c r="G21" i="8"/>
  <c r="I21" i="8" s="1"/>
  <c r="M21" i="8"/>
  <c r="O21" i="8"/>
  <c r="S21" i="8"/>
  <c r="U21" i="8" s="1"/>
  <c r="Y21" i="8"/>
  <c r="AA21" i="8"/>
  <c r="AB21" i="8"/>
  <c r="G22" i="8"/>
  <c r="I22" i="8" s="1"/>
  <c r="M22" i="8"/>
  <c r="O22" i="8"/>
  <c r="S22" i="8"/>
  <c r="U22" i="8" s="1"/>
  <c r="Y22" i="8"/>
  <c r="AA22" i="8"/>
  <c r="AB22" i="8" s="1"/>
  <c r="G23" i="8"/>
  <c r="I23" i="8"/>
  <c r="M23" i="8"/>
  <c r="O23" i="8" s="1"/>
  <c r="S23" i="8"/>
  <c r="U23" i="8"/>
  <c r="Y23" i="8"/>
  <c r="AA23" i="8" s="1"/>
  <c r="D24" i="8"/>
  <c r="G24" i="8" s="1"/>
  <c r="G42" i="8" s="1"/>
  <c r="E24" i="8"/>
  <c r="E42" i="8" s="1"/>
  <c r="F24" i="8"/>
  <c r="H24" i="8"/>
  <c r="J24" i="8"/>
  <c r="K24" i="8"/>
  <c r="L24" i="8"/>
  <c r="M24" i="8"/>
  <c r="N24" i="8"/>
  <c r="P24" i="8"/>
  <c r="Q24" i="8"/>
  <c r="S24" i="8" s="1"/>
  <c r="R24" i="8"/>
  <c r="T24" i="8"/>
  <c r="V24" i="8"/>
  <c r="W24" i="8"/>
  <c r="X24" i="8"/>
  <c r="Y24" i="8"/>
  <c r="Z24" i="8"/>
  <c r="G28" i="8"/>
  <c r="I28" i="8" s="1"/>
  <c r="M28" i="8"/>
  <c r="O28" i="8" s="1"/>
  <c r="S28" i="8"/>
  <c r="U28" i="8" s="1"/>
  <c r="Y28" i="8"/>
  <c r="AA28" i="8" s="1"/>
  <c r="G29" i="8"/>
  <c r="I29" i="8"/>
  <c r="M29" i="8"/>
  <c r="O29" i="8"/>
  <c r="S29" i="8"/>
  <c r="U29" i="8"/>
  <c r="Y29" i="8"/>
  <c r="AA29" i="8"/>
  <c r="AB29" i="8" s="1"/>
  <c r="G30" i="8"/>
  <c r="I30" i="8"/>
  <c r="M30" i="8"/>
  <c r="O30" i="8" s="1"/>
  <c r="S30" i="8"/>
  <c r="U30" i="8"/>
  <c r="Y30" i="8"/>
  <c r="AA30" i="8" s="1"/>
  <c r="G31" i="8"/>
  <c r="I31" i="8"/>
  <c r="M31" i="8"/>
  <c r="O31" i="8" s="1"/>
  <c r="S31" i="8"/>
  <c r="U31" i="8"/>
  <c r="Y31" i="8"/>
  <c r="AA31" i="8"/>
  <c r="G32" i="8"/>
  <c r="I32" i="8"/>
  <c r="M32" i="8"/>
  <c r="O32" i="8" s="1"/>
  <c r="S32" i="8"/>
  <c r="U32" i="8"/>
  <c r="Y32" i="8"/>
  <c r="AA32" i="8" s="1"/>
  <c r="AB32" i="8" s="1"/>
  <c r="G33" i="8"/>
  <c r="I33" i="8" s="1"/>
  <c r="M33" i="8"/>
  <c r="O33" i="8"/>
  <c r="S33" i="8"/>
  <c r="U33" i="8" s="1"/>
  <c r="Y33" i="8"/>
  <c r="AA33" i="8" s="1"/>
  <c r="AB33" i="8" s="1"/>
  <c r="G34" i="8"/>
  <c r="I34" i="8"/>
  <c r="M34" i="8"/>
  <c r="O34" i="8"/>
  <c r="S34" i="8"/>
  <c r="U34" i="8"/>
  <c r="Y34" i="8"/>
  <c r="AA34" i="8"/>
  <c r="AB34" i="8" s="1"/>
  <c r="G35" i="8"/>
  <c r="I35" i="8" s="1"/>
  <c r="M35" i="8"/>
  <c r="O35" i="8" s="1"/>
  <c r="S35" i="8"/>
  <c r="U35" i="8" s="1"/>
  <c r="Y35" i="8"/>
  <c r="AA35" i="8" s="1"/>
  <c r="G36" i="8"/>
  <c r="I36" i="8"/>
  <c r="I41" i="8" s="1"/>
  <c r="M36" i="8"/>
  <c r="O36" i="8"/>
  <c r="S36" i="8"/>
  <c r="U36" i="8"/>
  <c r="Y36" i="8"/>
  <c r="AA36" i="8" s="1"/>
  <c r="G37" i="8"/>
  <c r="I37" i="8" s="1"/>
  <c r="M37" i="8"/>
  <c r="O37" i="8" s="1"/>
  <c r="S37" i="8"/>
  <c r="U37" i="8" s="1"/>
  <c r="Y37" i="8"/>
  <c r="AA37" i="8" s="1"/>
  <c r="AB37" i="8" s="1"/>
  <c r="G38" i="8"/>
  <c r="I38" i="8"/>
  <c r="M38" i="8"/>
  <c r="O38" i="8"/>
  <c r="S38" i="8"/>
  <c r="U38" i="8" s="1"/>
  <c r="Y38" i="8"/>
  <c r="AA38" i="8"/>
  <c r="AB38" i="8" s="1"/>
  <c r="G39" i="8"/>
  <c r="I39" i="8"/>
  <c r="M39" i="8"/>
  <c r="O39" i="8" s="1"/>
  <c r="S39" i="8"/>
  <c r="U39" i="8" s="1"/>
  <c r="Y39" i="8"/>
  <c r="AA39" i="8" s="1"/>
  <c r="AB39" i="8" s="1"/>
  <c r="G40" i="8"/>
  <c r="I40" i="8"/>
  <c r="M40" i="8"/>
  <c r="O40" i="8"/>
  <c r="S40" i="8"/>
  <c r="U40" i="8"/>
  <c r="Y40" i="8"/>
  <c r="AA40" i="8"/>
  <c r="AB40" i="8"/>
  <c r="D41" i="8"/>
  <c r="G41" i="8" s="1"/>
  <c r="E41" i="8"/>
  <c r="F41" i="8"/>
  <c r="H41" i="8"/>
  <c r="H42" i="8" s="1"/>
  <c r="J41" i="8"/>
  <c r="K41" i="8"/>
  <c r="L41" i="8"/>
  <c r="M41" i="8" s="1"/>
  <c r="N41" i="8"/>
  <c r="P41" i="8"/>
  <c r="S41" i="8" s="1"/>
  <c r="Q41" i="8"/>
  <c r="R41" i="8"/>
  <c r="T41" i="8"/>
  <c r="T42" i="8" s="1"/>
  <c r="V41" i="8"/>
  <c r="W41" i="8"/>
  <c r="X41" i="8"/>
  <c r="Y41" i="8" s="1"/>
  <c r="Z41" i="8"/>
  <c r="F42" i="8"/>
  <c r="J42" i="8"/>
  <c r="K42" i="8"/>
  <c r="N42" i="8"/>
  <c r="R42" i="8"/>
  <c r="V42" i="8"/>
  <c r="W42" i="8"/>
  <c r="Z42" i="8"/>
  <c r="G52" i="8"/>
  <c r="M52" i="8"/>
  <c r="S52" i="8"/>
  <c r="Y52" i="8"/>
  <c r="G53" i="8"/>
  <c r="M53" i="8"/>
  <c r="S53" i="8"/>
  <c r="Y53" i="8"/>
  <c r="G54" i="8"/>
  <c r="M54" i="8"/>
  <c r="S54" i="8"/>
  <c r="Y54" i="8"/>
  <c r="G55" i="8"/>
  <c r="M55" i="8"/>
  <c r="S55" i="8"/>
  <c r="Y55" i="8"/>
  <c r="G56" i="8"/>
  <c r="M56" i="8"/>
  <c r="S56" i="8"/>
  <c r="Y56" i="8"/>
  <c r="Y54" i="12" l="1"/>
  <c r="Y50" i="12" s="1"/>
  <c r="W50" i="12"/>
  <c r="AB32" i="12"/>
  <c r="AA39" i="12"/>
  <c r="AB40" i="11"/>
  <c r="AA41" i="11"/>
  <c r="AB41" i="11" s="1"/>
  <c r="O40" i="10"/>
  <c r="O41" i="10" s="1"/>
  <c r="AB39" i="10"/>
  <c r="AB24" i="10"/>
  <c r="AA40" i="10"/>
  <c r="Y42" i="8"/>
  <c r="AB16" i="8"/>
  <c r="AA24" i="8"/>
  <c r="AB30" i="8"/>
  <c r="M42" i="8"/>
  <c r="AB23" i="8"/>
  <c r="U24" i="8"/>
  <c r="U41" i="8"/>
  <c r="O41" i="8"/>
  <c r="S42" i="8"/>
  <c r="O24" i="8"/>
  <c r="O42" i="8" s="1"/>
  <c r="O43" i="8" s="1"/>
  <c r="AB36" i="8"/>
  <c r="AA41" i="8"/>
  <c r="AB41" i="8" s="1"/>
  <c r="AB35" i="8"/>
  <c r="AB28" i="8"/>
  <c r="I24" i="8"/>
  <c r="I42" i="8" s="1"/>
  <c r="I43" i="8" s="1"/>
  <c r="Q42" i="8"/>
  <c r="X42" i="8"/>
  <c r="P42" i="8"/>
  <c r="L42" i="8"/>
  <c r="D42" i="8"/>
  <c r="Y53" i="7"/>
  <c r="S53" i="7"/>
  <c r="M53" i="7"/>
  <c r="G53" i="7"/>
  <c r="Y52" i="7"/>
  <c r="S52" i="7"/>
  <c r="M52" i="7"/>
  <c r="G52" i="7"/>
  <c r="Y51" i="7"/>
  <c r="S51" i="7"/>
  <c r="M51" i="7"/>
  <c r="G51" i="7"/>
  <c r="Y50" i="7"/>
  <c r="S50" i="7"/>
  <c r="M50" i="7"/>
  <c r="G50" i="7"/>
  <c r="Z40" i="7"/>
  <c r="T40" i="7"/>
  <c r="N40" i="7"/>
  <c r="H40" i="7"/>
  <c r="Z39" i="7"/>
  <c r="T39" i="7"/>
  <c r="R39" i="7"/>
  <c r="R40" i="7" s="1"/>
  <c r="Q39" i="7"/>
  <c r="P39" i="7"/>
  <c r="P40" i="7" s="1"/>
  <c r="N39" i="7"/>
  <c r="L39" i="7"/>
  <c r="H39" i="7"/>
  <c r="F39" i="7"/>
  <c r="F40" i="7" s="1"/>
  <c r="Y38" i="7"/>
  <c r="AA38" i="7" s="1"/>
  <c r="AB38" i="7" s="1"/>
  <c r="U38" i="7"/>
  <c r="S38" i="7"/>
  <c r="O38" i="7"/>
  <c r="M38" i="7"/>
  <c r="D38" i="7"/>
  <c r="G38" i="7" s="1"/>
  <c r="I38" i="7" s="1"/>
  <c r="AA37" i="7"/>
  <c r="AB37" i="7" s="1"/>
  <c r="Y37" i="7"/>
  <c r="S37" i="7"/>
  <c r="U37" i="7" s="1"/>
  <c r="O37" i="7"/>
  <c r="M37" i="7"/>
  <c r="I37" i="7"/>
  <c r="G37" i="7"/>
  <c r="Y36" i="7"/>
  <c r="AA36" i="7" s="1"/>
  <c r="S36" i="7"/>
  <c r="U36" i="7" s="1"/>
  <c r="M36" i="7"/>
  <c r="O36" i="7" s="1"/>
  <c r="G36" i="7"/>
  <c r="I36" i="7" s="1"/>
  <c r="Y35" i="7"/>
  <c r="AA35" i="7" s="1"/>
  <c r="AB35" i="7" s="1"/>
  <c r="P35" i="7"/>
  <c r="S35" i="7" s="1"/>
  <c r="U35" i="7" s="1"/>
  <c r="M35" i="7"/>
  <c r="O35" i="7" s="1"/>
  <c r="G35" i="7"/>
  <c r="I35" i="7" s="1"/>
  <c r="AA34" i="7"/>
  <c r="Y34" i="7"/>
  <c r="U34" i="7"/>
  <c r="S34" i="7"/>
  <c r="M34" i="7"/>
  <c r="O34" i="7" s="1"/>
  <c r="G34" i="7"/>
  <c r="I34" i="7" s="1"/>
  <c r="Y33" i="7"/>
  <c r="AA33" i="7" s="1"/>
  <c r="AB33" i="7" s="1"/>
  <c r="S33" i="7"/>
  <c r="U33" i="7" s="1"/>
  <c r="P33" i="7"/>
  <c r="O33" i="7"/>
  <c r="M33" i="7"/>
  <c r="E33" i="7"/>
  <c r="E32" i="7" s="1"/>
  <c r="D33" i="7"/>
  <c r="D32" i="7" s="1"/>
  <c r="G32" i="7" s="1"/>
  <c r="I32" i="7" s="1"/>
  <c r="X32" i="7"/>
  <c r="X39" i="7" s="1"/>
  <c r="W32" i="7"/>
  <c r="V32" i="7"/>
  <c r="Q32" i="7"/>
  <c r="P32" i="7"/>
  <c r="S32" i="7" s="1"/>
  <c r="U32" i="7" s="1"/>
  <c r="K32" i="7"/>
  <c r="K39" i="7" s="1"/>
  <c r="K40" i="7" s="1"/>
  <c r="J32" i="7"/>
  <c r="J39" i="7" s="1"/>
  <c r="Y31" i="7"/>
  <c r="AA31" i="7" s="1"/>
  <c r="AB31" i="7" s="1"/>
  <c r="S31" i="7"/>
  <c r="U31" i="7" s="1"/>
  <c r="M31" i="7"/>
  <c r="O31" i="7" s="1"/>
  <c r="D31" i="7"/>
  <c r="G31" i="7" s="1"/>
  <c r="I31" i="7" s="1"/>
  <c r="Y30" i="7"/>
  <c r="AA30" i="7" s="1"/>
  <c r="S30" i="7"/>
  <c r="U30" i="7" s="1"/>
  <c r="M30" i="7"/>
  <c r="O30" i="7" s="1"/>
  <c r="G30" i="7"/>
  <c r="I30" i="7" s="1"/>
  <c r="Y29" i="7"/>
  <c r="AA29" i="7" s="1"/>
  <c r="AB29" i="7" s="1"/>
  <c r="U29" i="7"/>
  <c r="S29" i="7"/>
  <c r="O29" i="7"/>
  <c r="M29" i="7"/>
  <c r="E29" i="7"/>
  <c r="D29" i="7"/>
  <c r="Y28" i="7"/>
  <c r="AA28" i="7" s="1"/>
  <c r="S28" i="7"/>
  <c r="U28" i="7" s="1"/>
  <c r="M28" i="7"/>
  <c r="O28" i="7" s="1"/>
  <c r="G28" i="7"/>
  <c r="I28" i="7" s="1"/>
  <c r="Z24" i="7"/>
  <c r="X24" i="7"/>
  <c r="X40" i="7" s="1"/>
  <c r="W24" i="7"/>
  <c r="V24" i="7"/>
  <c r="Y24" i="7" s="1"/>
  <c r="T24" i="7"/>
  <c r="R24" i="7"/>
  <c r="P24" i="7"/>
  <c r="N24" i="7"/>
  <c r="M24" i="7"/>
  <c r="L24" i="7"/>
  <c r="L40" i="7" s="1"/>
  <c r="K24" i="7"/>
  <c r="J24" i="7"/>
  <c r="H24" i="7"/>
  <c r="F24" i="7"/>
  <c r="E24" i="7"/>
  <c r="D24" i="7"/>
  <c r="G24" i="7" s="1"/>
  <c r="Y23" i="7"/>
  <c r="AA23" i="7" s="1"/>
  <c r="AB23" i="7" s="1"/>
  <c r="S23" i="7"/>
  <c r="U23" i="7" s="1"/>
  <c r="M23" i="7"/>
  <c r="O23" i="7" s="1"/>
  <c r="G23" i="7"/>
  <c r="I23" i="7" s="1"/>
  <c r="Y22" i="7"/>
  <c r="AA22" i="7" s="1"/>
  <c r="AB22" i="7" s="1"/>
  <c r="S22" i="7"/>
  <c r="U22" i="7" s="1"/>
  <c r="O22" i="7"/>
  <c r="M22" i="7"/>
  <c r="G22" i="7"/>
  <c r="I22" i="7" s="1"/>
  <c r="Y21" i="7"/>
  <c r="AA21" i="7" s="1"/>
  <c r="S21" i="7"/>
  <c r="U21" i="7" s="1"/>
  <c r="M21" i="7"/>
  <c r="O21" i="7" s="1"/>
  <c r="G21" i="7"/>
  <c r="I21" i="7" s="1"/>
  <c r="Y20" i="7"/>
  <c r="AA20" i="7" s="1"/>
  <c r="AB20" i="7" s="1"/>
  <c r="U20" i="7"/>
  <c r="S20" i="7"/>
  <c r="O20" i="7"/>
  <c r="M20" i="7"/>
  <c r="I20" i="7"/>
  <c r="Y19" i="7"/>
  <c r="AA19" i="7" s="1"/>
  <c r="U19" i="7"/>
  <c r="S19" i="7"/>
  <c r="M19" i="7"/>
  <c r="O19" i="7" s="1"/>
  <c r="I19" i="7"/>
  <c r="G19" i="7"/>
  <c r="Y18" i="7"/>
  <c r="AA18" i="7" s="1"/>
  <c r="AB18" i="7" s="1"/>
  <c r="Q18" i="7"/>
  <c r="S18" i="7" s="1"/>
  <c r="U18" i="7" s="1"/>
  <c r="O18" i="7"/>
  <c r="M18" i="7"/>
  <c r="G18" i="7"/>
  <c r="I18" i="7" s="1"/>
  <c r="Y17" i="7"/>
  <c r="AA17" i="7" s="1"/>
  <c r="S17" i="7"/>
  <c r="U17" i="7" s="1"/>
  <c r="M17" i="7"/>
  <c r="O17" i="7" s="1"/>
  <c r="G17" i="7"/>
  <c r="I17" i="7" s="1"/>
  <c r="Y16" i="7"/>
  <c r="AA16" i="7" s="1"/>
  <c r="AB16" i="7" s="1"/>
  <c r="U16" i="7"/>
  <c r="S16" i="7"/>
  <c r="O16" i="7"/>
  <c r="M16" i="7"/>
  <c r="G16" i="7"/>
  <c r="I16" i="7" s="1"/>
  <c r="Y15" i="7"/>
  <c r="AA15" i="7" s="1"/>
  <c r="S15" i="7"/>
  <c r="U15" i="7" s="1"/>
  <c r="M15" i="7"/>
  <c r="O15" i="7" s="1"/>
  <c r="G15" i="7"/>
  <c r="I15" i="7" s="1"/>
  <c r="AB39" i="12" l="1"/>
  <c r="AA40" i="12"/>
  <c r="AB40" i="10"/>
  <c r="AA41" i="10"/>
  <c r="AB41" i="10" s="1"/>
  <c r="U42" i="8"/>
  <c r="U43" i="8" s="1"/>
  <c r="AB24" i="8"/>
  <c r="AA42" i="8"/>
  <c r="Y32" i="7"/>
  <c r="AA32" i="7" s="1"/>
  <c r="AA39" i="7" s="1"/>
  <c r="AB21" i="7"/>
  <c r="I24" i="7"/>
  <c r="AB19" i="7"/>
  <c r="AB36" i="7"/>
  <c r="J40" i="7"/>
  <c r="M39" i="7"/>
  <c r="M40" i="7" s="1"/>
  <c r="AB17" i="7"/>
  <c r="U24" i="7"/>
  <c r="U40" i="7" s="1"/>
  <c r="U41" i="7" s="1"/>
  <c r="O24" i="7"/>
  <c r="AA24" i="7"/>
  <c r="AB15" i="7"/>
  <c r="AB30" i="7"/>
  <c r="AB34" i="7"/>
  <c r="AB28" i="7"/>
  <c r="I39" i="7"/>
  <c r="S24" i="7"/>
  <c r="S40" i="7" s="1"/>
  <c r="D39" i="7"/>
  <c r="O39" i="7"/>
  <c r="E39" i="7"/>
  <c r="E40" i="7" s="1"/>
  <c r="U39" i="7"/>
  <c r="G29" i="7"/>
  <c r="I29" i="7" s="1"/>
  <c r="G33" i="7"/>
  <c r="I33" i="7" s="1"/>
  <c r="Q24" i="7"/>
  <c r="Q40" i="7" s="1"/>
  <c r="S39" i="7"/>
  <c r="V39" i="7"/>
  <c r="W39" i="7"/>
  <c r="W40" i="7" s="1"/>
  <c r="M32" i="7"/>
  <c r="O32" i="7" s="1"/>
  <c r="AB40" i="12" l="1"/>
  <c r="AA41" i="12"/>
  <c r="AB41" i="12" s="1"/>
  <c r="AB42" i="8"/>
  <c r="AA43" i="8"/>
  <c r="AB43" i="8" s="1"/>
  <c r="AB32" i="7"/>
  <c r="V40" i="7"/>
  <c r="Y39" i="7"/>
  <c r="Y40" i="7" s="1"/>
  <c r="AB39" i="7"/>
  <c r="AB24" i="7"/>
  <c r="AA40" i="7"/>
  <c r="D40" i="7"/>
  <c r="G39" i="7"/>
  <c r="G40" i="7" s="1"/>
  <c r="I40" i="7"/>
  <c r="I41" i="7" s="1"/>
  <c r="O40" i="7"/>
  <c r="O41" i="7" s="1"/>
  <c r="AA41" i="7" l="1"/>
  <c r="AB41" i="7" s="1"/>
  <c r="AB40" i="7"/>
</calcChain>
</file>

<file path=xl/comments1.xml><?xml version="1.0" encoding="utf-8"?>
<comments xmlns="http://schemas.openxmlformats.org/spreadsheetml/2006/main">
  <authors>
    <author>vbuchtova</author>
  </authors>
  <commentList>
    <comment ref="X1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předpoklad UZ podle roku 2023 - uopřesnění částek až při projednávání rozpočtu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ropočer SR dle stavu k 21.6.2023 rozpočtu platného + 3539,6 NPO 14 na rok 2024
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převod OP jak -z 414 v předp. Výši čerpání 2024
</t>
        </r>
      </text>
    </comment>
    <comment ref="Z2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cerpání sponzor.+ 
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včetně úroků z poolu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z UZ akce školy a prvence 29,8 
,tis.  A dílny z UZ 702 5.tis
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140 učebnice
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UZ prevence a akce školy 36+20
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95tis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podle UZ z 2023 701+702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31323,6 dle stavu k 21.6.2023
</t>
        </r>
      </text>
    </comment>
    <comment ref="Y3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120 ze SR</t>
        </r>
      </text>
    </comment>
    <comment ref="X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z dohod + UZ 701+702 
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dle rozpočtu k 21.6.2023 
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srážková z účasti v pooll</t>
        </r>
      </text>
    </comment>
    <comment ref="X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5,8 z UZ 701+702
jinak ostatní 5 z návrhu rozpočtu
</t>
        </r>
      </text>
    </comment>
    <comment ref="Y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- fksp jen 1% z platného k 1.6.2023 - protože se předpokládáv 2024 snížení na 1%
</t>
        </r>
      </text>
    </comment>
  </commentList>
</comments>
</file>

<file path=xl/sharedStrings.xml><?xml version="1.0" encoding="utf-8"?>
<sst xmlns="http://schemas.openxmlformats.org/spreadsheetml/2006/main" count="3682" uniqueCount="299">
  <si>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</si>
  <si>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</si>
  <si>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</si>
  <si>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</si>
  <si>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</si>
  <si>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</si>
  <si>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</si>
  <si>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</si>
  <si>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</si>
  <si>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</si>
  <si>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</si>
  <si>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</si>
  <si>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</si>
  <si>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</si>
  <si>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</si>
  <si>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</si>
  <si>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</si>
  <si>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</si>
  <si>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</si>
  <si>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</si>
  <si>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</si>
  <si>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</si>
  <si>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</si>
  <si>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</si>
  <si>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</si>
  <si>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</si>
  <si>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</si>
  <si>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</si>
  <si>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</si>
  <si>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</si>
  <si>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</si>
  <si>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</si>
  <si>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</si>
  <si>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</si>
  <si>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</si>
  <si>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</si>
  <si>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</si>
  <si>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</si>
  <si>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</si>
  <si>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</si>
  <si>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</si>
  <si>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</si>
  <si>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</si>
  <si>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</si>
  <si>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</si>
  <si>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</si>
  <si>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</si>
  <si>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</si>
  <si>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</si>
  <si>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</si>
  <si>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</si>
  <si>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</si>
  <si>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</si>
  <si>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</si>
  <si>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</si>
  <si>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</si>
  <si>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</si>
  <si>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</si>
  <si>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</si>
  <si>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</si>
  <si>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</si>
  <si>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</si>
  <si>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</si>
  <si>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</si>
  <si>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</si>
  <si>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</si>
  <si>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</si>
  <si>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</si>
  <si>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</si>
  <si>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</si>
  <si>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</si>
  <si>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</si>
  <si>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</si>
  <si>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</si>
  <si>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</si>
  <si>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</si>
  <si>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</si>
  <si>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</si>
  <si>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</si>
  <si>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</si>
  <si>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</si>
  <si>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</si>
  <si>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</si>
  <si>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</si>
  <si>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</si>
  <si>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</si>
  <si>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</si>
  <si>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</si>
  <si>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</si>
  <si>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</si>
  <si>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</si>
  <si>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</si>
  <si>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</si>
  <si>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</si>
  <si>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</si>
  <si>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</si>
  <si>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</si>
  <si>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</si>
  <si>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</si>
  <si>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</si>
  <si>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Chomutovská knihovna, příspěvková organizace</t>
  </si>
  <si>
    <t>00360589</t>
  </si>
  <si>
    <t>Palackého 4995, 430 01 Chomutov</t>
  </si>
  <si>
    <t>Zůstatek k 30.06.</t>
  </si>
  <si>
    <t>Mgr. Bedřich Fryč</t>
  </si>
  <si>
    <t>Ing. Martina Marešová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</si>
  <si>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</si>
  <si>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</si>
  <si>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</si>
  <si>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</si>
  <si>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</si>
  <si>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v tis. Kč</t>
  </si>
  <si>
    <t>Porovnání s rokem 2023</t>
  </si>
  <si>
    <t>Petr Markes, ředitel</t>
  </si>
  <si>
    <t>Ing. Eva Martincová, Ing. Veronika Purkrábek, ekonom</t>
  </si>
  <si>
    <t>Čerpání investičního fondu v roce 2025 - pořízení mulčovače (pořizovací cena bez DPH cca 650.000,00 Kč) a chladícího zařízení (pořizovací cena bez DPH cca 700.000,00 Kč).</t>
  </si>
  <si>
    <t>Čerpání investičního fondu do konce roku 2024 - štípačka (pořizovací cena bez DPH 412.000,00 Kč) a vyvážečka (pořizovací cena bez DPH 1.410.000,00 Kč)</t>
  </si>
  <si>
    <t>Stavy fondů</t>
  </si>
  <si>
    <t>Tvorba a zúčtování rezerv</t>
  </si>
  <si>
    <t>Aktivace</t>
  </si>
  <si>
    <t>Hora Svatého Šebestiána 90, 431 82</t>
  </si>
  <si>
    <t>Městské lesy Chomutov, příspěvková organizace</t>
  </si>
  <si>
    <t>Mgr. Alena Tölgová</t>
  </si>
  <si>
    <t xml:space="preserve"> Ing. Dana Kubíková</t>
  </si>
  <si>
    <t>Rovněž se nám podařilo zvýšit úhrady od zdravotních pojišťoven za poskytovanou zdravotní péči téměř o 11,7 %, což meziročně znamená nárůst o 2 000 tis. Kč.</t>
  </si>
  <si>
    <t>Zvýšení o 7,5 % oproti roku 2024 je způsobeno zvýšením úhrad za poskytované služby a zvýšený příspěvek na péči, kdy jsou veškeré úhrady stanoveny na maximum, které umožňuje prováděcí vyhláška k zákonu o sociálních službách.</t>
  </si>
  <si>
    <t>Vlastní výnosy v roce 2025 očekáváme ve výši 81 450 tis. Kč.</t>
  </si>
  <si>
    <t>V rozpočtu jsou také zohledněny plánované platové postupy a také avizované navýšení tarifů o částku 1,4 tis. Kč/měsíc u všech pracovníků organizace.</t>
  </si>
  <si>
    <t xml:space="preserve">Na středisku CDS Bezručova (DPS Merkur) se jedná o navýšení 5 úvazků  pečovatelek (PSS - podána žádost na KÚÚk) a 1 úvazku na pozici vychovatelky. </t>
  </si>
  <si>
    <t>Jejich zvýšení souvisí s rozvojem organizace, kdy plánujeme navýšení personálu na Domově pro seniory Písečná, a to o 2 zdravotní sestry na celý úvazek a  navýšení o 1,5 úvazku pracovnice úklidu.</t>
  </si>
  <si>
    <t xml:space="preserve">Mzdové náklady jsou plánovány ve výši 88 650 tis. Kč. </t>
  </si>
  <si>
    <t xml:space="preserve">Žádost byla podána a schválena do NPO (schváleno RaMěst 325/23 dne 2.5.2023), a to ve výši cca 2 050 tis. Kč, tzn. iInvestiční příspěvek zřizovatele pro rok 2025 by měl činit  2 000 tis. Kč. </t>
  </si>
  <si>
    <t>V I. NP této budovy vybudujeme prádelenský provoz, který bude sloužit výhradně pro sociální služby organizace. Využili jsme vyhlášeného dotačního titulu na úsporu nákladů, podali žádost na financování prádelenského provozu a tato již byla schválena.</t>
  </si>
  <si>
    <t>1. Za nejzásadnější investici v roce 2025 považujeme ukončení rekonstrukce objektu v ul Kostnická 4088. Po komplexní rekonstrukci bude budova využívána jako klub senorů, kdy v současné době senioři využívají prostory jídelny Bezručova ul středisko CDS (DPS Merkur). Tímto záměrem vybudujeme ve II. NP budovy Kostnická kompletní zázemí pro klub seniorů - společ.místnost, klubovnu, seniornet, kuchyňku a kancelář.</t>
  </si>
  <si>
    <t>INVESTICE</t>
  </si>
  <si>
    <t>Od července 2025 předpokládáme zahájení provozu Klubu seniorů a prádelny v nových prostorách v ul. Kostnická. Kompletní rekonstrukce této budovy byla zahájena v měsíci září 2024 s tím, že v rozpočtu je již nárokována investiční dotace zřizovatele ve výši 9 200 tis.Kč (rozpočt.náklady na rekonstrukci dle projektové dokumentace).</t>
  </si>
  <si>
    <t>Náklady na provoz organizace jsou navýšeny o 6,06 % oproti roku 2024, kdy se do zvýšení promítá především provoz nové sociální služby, spuštění prádelny v ul. Kostnická, zvýšení cen energií (teplo a voda),  zvýšení cen za služby (např. likvidace odpadů), náklady na opravy vnitřních budov, obnova výpočetní techniky (nepodporovaný operační systém). Vzhledem k velmi   špatnému stavu stravovacího provozu CDS Bezručova (DPS Merkur), očekáváme další možné zvýšení nákladů na opravy a údržbu stávajícího zařízení (zastaralá technologie, havarijní stav).</t>
  </si>
  <si>
    <t>Finanční krytí služby DS PAS Kamenná je zajištěno především z velkého a malého dotačního programu, dále z úhrad klientů a z příspěvku zřizovatele, který je předpokládán ve výši 800 tis.Kč.</t>
  </si>
  <si>
    <t xml:space="preserve">Plánovaná výše příspěvku zřizovatele je navýšená oproti roku 2024 o 2,3 % a je ve výši 28 647 tis.Kč, a to za předpokladu přiznání dotace na sociální služby (tzv. velký a malý dotační program) ve výši 49 478 tis. Kč. Na provoz dětských skupin je předpokládaná dotace ze zdrojů MPSV ve výši 3 100 tis.Kč. Provoz AD Písečná by měl být v tomto roce financován z programu POSOSUK 6 (provoz vybraných sociálních služeb). </t>
  </si>
  <si>
    <t>Rozpočet je sestaven jako vyrovnaný, předpokládané náklady ve výši 168 542 tis.Kč.</t>
  </si>
  <si>
    <t>Písečná 5030, 430 04 Chomutov</t>
  </si>
  <si>
    <t>Sociální služby Chomutov, příspěvková organizace</t>
  </si>
  <si>
    <t>Ing. Zbyněk Kolbížek</t>
  </si>
  <si>
    <t>Ing. Petra Langhammerová</t>
  </si>
  <si>
    <t>4) TSmCh zruší druhé kolo komplexního blokového čištění města, zůstane pouze jednokolové blokové čištění - snížení plánu o 2.800.000,- Kč</t>
  </si>
  <si>
    <t>3) provoz nového multifunkčního vozidla se bude realizovat se stávající posádkou - snížení plánu rozpočtu o 1.724.600,- Kč, v plánu rozpočtu jsou ponechány pouze odpisy</t>
  </si>
  <si>
    <t>2) TSmCh nebude v roce 2025 realizovat svoz separovaných odpadkových košů dle výše uvedeného bodu 3) - snížení plánu rozpočtu o 1.880.000,- Kč včetně zrušení investičního příspěvku zřizovatele na nové vozidlo ve výši 4.000.000,- Kč</t>
  </si>
  <si>
    <t>1) město nepřevede do správy TSmCh veřejnou zeleň dle výše uvedeného bodu 2) ani nebude převádět další majetek do správy (např. ulice Jarní) - snížení plánu rozpočtu o 1.000.000,- Kč</t>
  </si>
  <si>
    <t>Úprava plánu rozpočtu 2025 - snížení o 7.404.600,- Kč, nový rozpočet 182.750.000,- Kč:</t>
  </si>
  <si>
    <t>Celkové navýšení plánu rozpočtu na rok 2025 dle výše uvedených nových či rozšířených činností činí 18.338.000,- Kč</t>
  </si>
  <si>
    <t>5) náklady na provoz nového multifunkčního vozidla na svoz polopodzemních kontejnerů, náklady na obsluhu, provoz a odpisy vozidla činí celkovou roční částku 3.286.000,- Kč.</t>
  </si>
  <si>
    <t>4) vládou plánované navýšení platových tarifů od ledna 2025 včetně dorovnání platů pracovníků, jejichž zařazení v platové tabulce je pod minimální mzdou v celkové roční výši 7.200.000,- + odvody 2.592.000,- Kč, celkem 9.792.000,- Kč</t>
  </si>
  <si>
    <t>3) dle rozhodnutí OŽP v následujícím roce budou zprovozněny separované odpadkové koše ve městě a na sídlištích. To vyvolává požadavek na pořízení dalšího svozového vozidla na separované odpadkové koše. Náklady na na obsluhu, provoz a odpisy vozidla činí ročně částku 1.880.000,- Kč</t>
  </si>
  <si>
    <t>2) dle sdělení OMM v roce 2025 převede město do správy TSmCh více než 60.000 m2 veřejné zeleně. Vzhledem k nedostatečným informacím o intenzitě obhospodařování navyšujeme návrh rozpočtu o 1.000.000,- Kč</t>
  </si>
  <si>
    <t>1) myčka kontejnerů, náklady na obsluhu, provoz a odpisy vozidla činí ročně částku 2.380.000,- Kč</t>
  </si>
  <si>
    <t>Další navýšení plánu rozpočtu proti roku 2024, návrh rozpočtu 190.154.600,- Kč</t>
  </si>
  <si>
    <t>Příspěvková organizace navrhuje investiční příspěvek zřizovatele ve výši 4.000.000,- Kč na pořízení dvou investic. První investicí je SVOZOVÉ VOZIDLO NA SEPAROVANÉ ODPADKOVÉ KOŠE.</t>
  </si>
  <si>
    <t>Návrh rozpočtu TSmCh na rok 2025 je shodný s návrhem rozpočtu na rok 2024  spolu s náklady na nové činnosti či nově zařazený spravovaný majetek.</t>
  </si>
  <si>
    <t>náměstí 1. máje 89, 43001 Chomutov</t>
  </si>
  <si>
    <t>Technické služby města Chomutova, příspěvková organizace</t>
  </si>
  <si>
    <t>Vlastimil Hubert, ředitel organizace</t>
  </si>
  <si>
    <t>Bc. Ludmila Landová, Dis, správce rozpočtu</t>
  </si>
  <si>
    <t>ORAGANIZACE NA ROK 2025 PLÁNUJE POKRYTÍ NÁKLADŮ Z VLASTNÍCH ZDROJŮ VE VÝŠI 48%, POŽADAVEK NA PROVOZNÍ DOTACI JE VE VÝŠI 52.000.000,- Kč. POŽADAVEK NA ROK 2025 JE O 2.300.000,-Kč NIŽŠÍ PROTI ROKU 2024.</t>
  </si>
  <si>
    <t>ZÁVĚR</t>
  </si>
  <si>
    <t>Ostatní náklady mimo jiné obsahují např.položky náklady na pořízení zboží, produkce vlastníck krmiv, zákonné pojištění zaměstnanců, pojištění vozidel a majetku, členské poplatky, příděl do FKSP a stravenkový paušál</t>
  </si>
  <si>
    <t>Náklady na odpisy byly stanoveny na základě předpokládaného odpisového plánu.</t>
  </si>
  <si>
    <t xml:space="preserve">V souvislosti se zvýšením nákladů na mzdy se zvyšuje i náklad na pojistné zaměstnanců. </t>
  </si>
  <si>
    <t>Mzdové náklady jsou navýšení o 14,51%. Organizace plánuje zprovoznit recepci pro ubytování na Skanzenu a vytvořit nová pracovní místa na Kamencovém jezeře na HPP místo DPP, DPČ. Celkem bude nárůst o 6 lidí proti rozpočtu 2024. Návrh je zpracován s navýšením základních mezd vč. povinných příplatků o 10% (bez osobního příplatku a příplatku za vedení)</t>
  </si>
  <si>
    <t>Náklady na materiál, služby, opravy a energie jsou stanoveny dle skutečnosti roku 2023  a dle vývoje do 7/2024.</t>
  </si>
  <si>
    <t>Náklady</t>
  </si>
  <si>
    <t>Vlastní výnosy organizace jsou velmi závislé na počasí a na pořáaných akcích pro zákazníky</t>
  </si>
  <si>
    <t>Provozní dotace z jiných zdrojů (mimo SMCH) - jedná se o předpokládané dotace z Úřadu práce na zaměstnance, dotace z MŽP na krmivo, z Ústeckého kraje na Záchrannou stanici, ČSOP a Avatar</t>
  </si>
  <si>
    <t>V položce ostatních výnosů jsou obsaženy tržby za prodej krmiva, zprostředkování reklamy, bankovní úroky a přefakturace energií nájemmcům</t>
  </si>
  <si>
    <t>Organizace předpokládá zapojení rezervních fondů do hospodaření organizace, s tím, že budou pokryty náklady na krmivo nebo opravy expozic zvířat.</t>
  </si>
  <si>
    <t>Transferový podíl je stanoven na úrovni roku 2024.</t>
  </si>
  <si>
    <t>Organizace při stanovení plánovaných tržeb 601-609 vycházela ze skutečnosti roku 2023. Proti plánovanému rozpočtu roku 2024 zvýšila organizace tržby 2025 o 27,5%</t>
  </si>
  <si>
    <t>Porovnání s rokem 2024</t>
  </si>
  <si>
    <t>Přemyslova 259, 43001 Chomutov</t>
  </si>
  <si>
    <t>Zoopark Chomutov, p.o.</t>
  </si>
  <si>
    <t>Bc. Eliška Smetanová</t>
  </si>
  <si>
    <t>Ing. Jitka Svobodová</t>
  </si>
  <si>
    <t>Příspěvek od zřizovatele snížen o předpokádané snížení energií.</t>
  </si>
  <si>
    <t xml:space="preserve">Ostatní transfery předpoklad zvýšení dotace NIV /zahrnuto 5%/. </t>
  </si>
  <si>
    <t>Snížení příjmů v kolonce vlastní výnosy z důvodu předpokladu nižšího školného - rodiče pobírajcí přídavky na děti nebudou tento poplatek platit, zároveň neočekáváme zvýšení úplaty navržené zřizovatelem.</t>
  </si>
  <si>
    <t>Jiráskova 4335, 430 03  Chomutov</t>
  </si>
  <si>
    <t>Mateřská škola Chomutov, příspěvková organizace</t>
  </si>
  <si>
    <t>Bc. Radoslav Malarik</t>
  </si>
  <si>
    <t>Vavrušková Blanka</t>
  </si>
  <si>
    <t>Jiráskova 4140. 430 03  Chomutov</t>
  </si>
  <si>
    <t>Středisko volného času Domeček Chomutov, příspěvková organizace</t>
  </si>
  <si>
    <t>Mgr. Hana Horská</t>
  </si>
  <si>
    <t>Jana Tučková</t>
  </si>
  <si>
    <t xml:space="preserve"> - ostatní transfery - zvýšení o poskytnuté dotace z NPO a zvýšení SR na přímé náklady</t>
  </si>
  <si>
    <t xml:space="preserve"> - zřizovatel - snížení provozního příspěvku (snížení ceny el. energie pro rok 2025)</t>
  </si>
  <si>
    <t>Výnosy:</t>
  </si>
  <si>
    <t>Zůsttatek k 30.6.</t>
  </si>
  <si>
    <t>17. listopadu 4728, 430 04 Chomutov</t>
  </si>
  <si>
    <t>Základní škola a Mateřská škola, Chomutov, 17. listopadu 4728, příspěvková organizace</t>
  </si>
  <si>
    <t>Mgr. S e j n o v á  Jana</t>
  </si>
  <si>
    <t>Šestáková Irena</t>
  </si>
  <si>
    <t>V roce 2025 plánujeme v rozpočtu na opravy podlah v úseku MŠ, pavilon 3 a 4 třídy. Dále opravu podlahy v ZŠS učebny v přízemí.</t>
  </si>
  <si>
    <t>Palachova 4881, 430 03 Chomutov</t>
  </si>
  <si>
    <t>Základní škola speciální a Mateřská škola, Palachova 4881, příspěvková organizace</t>
  </si>
  <si>
    <t>Mgr. Monika Margitičová</t>
  </si>
  <si>
    <t>Alena Bažantová</t>
  </si>
  <si>
    <t>na energie 3 000 000,- Kč a vyčerpáno za 1-6/2024 je 1 658 621,- Kč.</t>
  </si>
  <si>
    <t>Schválený rozpočet na rok 2024 byl navýšen o 70 100,- Kč - navýšený odvod odpisů zřizovateli /pořízení nové kuchyně/ a zvýšení o 3 400,- Kč /navýšení transferu u budovy. V návrhu rozpočtu na rok 2025 žádáme o navýšení oproti rozpočtu na rok 2024 o 400 000,- Kč /odpisy nové kuchyně/ a navýšení o 130 000,- Kč na energie, neboť v rozpočtu máme schváleno</t>
  </si>
  <si>
    <t>Akademika Heyrovského 4539, 430 03 Chomutov</t>
  </si>
  <si>
    <t>Základní škola Chomutov, Akademika Heyrovského 4539</t>
  </si>
  <si>
    <t>Ing. Vladimíra Nováková</t>
  </si>
  <si>
    <t>Bc. Michaela Adamová</t>
  </si>
  <si>
    <t>V oblasti nákladů na energie nelze již více škrtat, ke snížení se přistoupili v oblasti služeb, materiálu, oprav - jen nutných, dle předpisu nebo s rezervou na havarijní opravy. Škrty v oblasti pořízení vybavení na minimum, které nelze hradit z ONIV - nejsou učební pomůcky.</t>
  </si>
  <si>
    <t xml:space="preserve">  </t>
  </si>
  <si>
    <r>
      <t xml:space="preserve">MATERIÁL :  </t>
    </r>
    <r>
      <rPr>
        <sz val="14"/>
        <rFont val="Calibri"/>
        <family val="2"/>
        <charset val="238"/>
        <scheme val="minor"/>
      </rPr>
      <t xml:space="preserve">upraveny některé položky spotřeby materiálu a </t>
    </r>
    <r>
      <rPr>
        <b/>
        <sz val="14"/>
        <rFont val="Calibri"/>
        <family val="2"/>
        <charset val="238"/>
        <scheme val="minor"/>
      </rPr>
      <t xml:space="preserve">to zejména  na drobné opravy a údržbu. </t>
    </r>
  </si>
  <si>
    <t>dílčí přesto předpokládané zvýšení cen za odvoz odpadů, a ostatních pravidelných služeb a potřebných oprav majetku</t>
  </si>
  <si>
    <r>
      <rPr>
        <b/>
        <sz val="14"/>
        <rFont val="Calibri"/>
        <family val="2"/>
        <charset val="238"/>
        <scheme val="minor"/>
      </rPr>
      <t>servis SW</t>
    </r>
    <r>
      <rPr>
        <sz val="14"/>
        <rFont val="Calibri"/>
        <family val="2"/>
        <charset val="238"/>
        <scheme val="minor"/>
      </rPr>
      <t xml:space="preserve"> - reflektuje navýšení dig. techniky a práci technika IT </t>
    </r>
    <r>
      <rPr>
        <b/>
        <sz val="14"/>
        <rFont val="Calibri"/>
        <family val="2"/>
        <charset val="238"/>
        <scheme val="minor"/>
      </rPr>
      <t xml:space="preserve"> cca 70 tis. </t>
    </r>
  </si>
  <si>
    <r>
      <t xml:space="preserve">pojištení odpovědnosti </t>
    </r>
    <r>
      <rPr>
        <sz val="14"/>
        <rFont val="Calibri"/>
        <family val="2"/>
        <charset val="238"/>
        <scheme val="minor"/>
      </rPr>
      <t>v návaznosti na vysokém plnění  o cca  100%</t>
    </r>
  </si>
  <si>
    <r>
      <t>SLUŽBY :   stočné a srážky</t>
    </r>
    <r>
      <rPr>
        <sz val="14"/>
        <rFont val="Calibri"/>
        <family val="2"/>
        <charset val="238"/>
        <scheme val="minor"/>
      </rPr>
      <t xml:space="preserve"> v návaznosti se zdražováním vodného  cca</t>
    </r>
    <r>
      <rPr>
        <b/>
        <sz val="14"/>
        <rFont val="Calibri"/>
        <family val="2"/>
        <charset val="238"/>
        <scheme val="minor"/>
      </rPr>
      <t xml:space="preserve"> 40 tis.</t>
    </r>
  </si>
  <si>
    <r>
      <rPr>
        <b/>
        <sz val="14"/>
        <rFont val="Calibri"/>
        <family val="2"/>
        <charset val="238"/>
        <scheme val="minor"/>
      </rPr>
      <t xml:space="preserve">  el. energie</t>
    </r>
    <r>
      <rPr>
        <sz val="14"/>
        <rFont val="Calibri"/>
        <family val="2"/>
        <charset val="238"/>
        <scheme val="minor"/>
      </rPr>
      <t xml:space="preserve"> - snížení dojednané ceny na rok 2025-26 z  3976,-   Kč bez DPH (v roce 2024 ) na MWh na 2314,-  Kč bez DPH na MWh - tvoří pouze dílčí část konečné ceny - předpokládaný dopad je snížení </t>
    </r>
    <r>
      <rPr>
        <b/>
        <sz val="14"/>
        <rFont val="Calibri"/>
        <family val="2"/>
        <charset val="238"/>
        <scheme val="minor"/>
      </rPr>
      <t>o 180 tisíc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</si>
  <si>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                </t>
    </r>
    <r>
      <rPr>
        <b/>
        <sz val="14"/>
        <rFont val="Calibri"/>
        <family val="2"/>
        <charset val="238"/>
        <scheme val="minor"/>
      </rPr>
      <t xml:space="preserve">   TUV a UV-</t>
    </r>
    <r>
      <rPr>
        <sz val="14"/>
        <rFont val="Calibri"/>
        <family val="2"/>
        <charset val="238"/>
        <scheme val="minor"/>
      </rPr>
      <t xml:space="preserve"> navýšení v návaznosti na zýšení cen vstupní vody  a dalších nákladů cca o 130K (bez DPH) za GJ o </t>
    </r>
    <r>
      <rPr>
        <b/>
        <sz val="14"/>
        <rFont val="Calibri"/>
        <family val="2"/>
        <charset val="238"/>
        <scheme val="minor"/>
      </rPr>
      <t>cca 400 tis.</t>
    </r>
  </si>
  <si>
    <r>
      <t>ENERGIE :  voda</t>
    </r>
    <r>
      <rPr>
        <sz val="14"/>
        <rFont val="Calibri"/>
        <family val="2"/>
        <charset val="238"/>
        <scheme val="minor"/>
      </rPr>
      <t xml:space="preserve"> - předpokládaný vývoj - každoroční navýšení o </t>
    </r>
    <r>
      <rPr>
        <b/>
        <sz val="14"/>
        <rFont val="Calibri"/>
        <family val="2"/>
        <charset val="238"/>
        <scheme val="minor"/>
      </rPr>
      <t xml:space="preserve">cca 3 Kč m3 </t>
    </r>
    <r>
      <rPr>
        <sz val="14"/>
        <rFont val="Calibri"/>
        <family val="2"/>
        <charset val="238"/>
        <scheme val="minor"/>
      </rPr>
      <t xml:space="preserve">(bez DPH) předpokládá navýšení výdaje o </t>
    </r>
    <r>
      <rPr>
        <b/>
        <sz val="14"/>
        <rFont val="Calibri"/>
        <family val="2"/>
        <charset val="238"/>
        <scheme val="minor"/>
      </rPr>
      <t xml:space="preserve">30 tis./rok </t>
    </r>
  </si>
  <si>
    <t>Nákladové položky podrobněji :</t>
  </si>
  <si>
    <r>
      <t xml:space="preserve"> Dále v roce 2024 došlo ke zvýšení srážkové daně z příjmu   PO </t>
    </r>
    <r>
      <rPr>
        <b/>
        <sz val="14"/>
        <color theme="1"/>
        <rFont val="Calibri"/>
        <family val="2"/>
        <charset val="238"/>
        <scheme val="minor"/>
      </rPr>
      <t xml:space="preserve">z 19% na 21% </t>
    </r>
  </si>
  <si>
    <r>
      <t xml:space="preserve">ČNB předpokládá další snižování sazeb i v roce 2025 - odhad snížení výnosů při pokračování snižování sazeb 1M Pribor v roce 2025 - je cca </t>
    </r>
    <r>
      <rPr>
        <b/>
        <sz val="14"/>
        <color theme="1"/>
        <rFont val="Calibri"/>
        <family val="2"/>
        <charset val="238"/>
        <scheme val="minor"/>
      </rPr>
      <t>úbytek  150-200 tis.</t>
    </r>
    <r>
      <rPr>
        <sz val="14"/>
        <color theme="1"/>
        <rFont val="Calibri"/>
        <family val="2"/>
        <charset val="238"/>
        <scheme val="minor"/>
      </rPr>
      <t xml:space="preserve"> v návaznosti zůstatku účtů a případných dalších získaných peněz z dotací , které nelze teď odhadnout. </t>
    </r>
  </si>
  <si>
    <t>v roce 2025 nelze spoléhat na stejnou výši přípsaných úroků - tj. výnosů organizace v návaznosti na změny sazby PRIBOR vyhlašované ČNB a tím dostatečné rezervy na dokrytí provozního rozpočtu organizace.</t>
  </si>
  <si>
    <r>
      <t xml:space="preserve">      </t>
    </r>
    <r>
      <rPr>
        <b/>
        <sz val="14"/>
        <color theme="1"/>
        <rFont val="Calibri"/>
        <family val="2"/>
        <charset val="238"/>
        <scheme val="minor"/>
      </rPr>
      <t>v roce 2022 chybělo :  166,6 tis. a v roce 2023 chybělo : 174 tis</t>
    </r>
    <r>
      <rPr>
        <sz val="14"/>
        <color theme="1"/>
        <rFont val="Calibri"/>
        <family val="2"/>
        <charset val="238"/>
        <scheme val="minor"/>
      </rPr>
      <t>.  Provozní náklady byly dokryty z  HČ ( zejména sjednáním úročení účtů ve skupině zřizovatele - pool)</t>
    </r>
  </si>
  <si>
    <t>požadované navýšení provozního rozpočtu vychází ze skutečnosti , že v letech 2022 i 2023 byl škrcený schválený provozní příspěvek zřizovatele nedostatečný - a výdaje byly dotovány z HČ</t>
  </si>
  <si>
    <t>Provozní rozpočet na rok 2025 vychází  ze skutečných nákladů roku 2023 a pololetí 2024 upravený o předpokládané změny  cen zejména ve službách, energiích, materiálu. Celkové navýšení v předpokládané výši 586 tis.</t>
  </si>
  <si>
    <t>k 30.6.</t>
  </si>
  <si>
    <r>
      <t xml:space="preserve">NÁKLADY </t>
    </r>
    <r>
      <rPr>
        <sz val="11"/>
        <rFont val="Calibri"/>
        <family val="2"/>
        <charset val="238"/>
        <scheme val="minor"/>
      </rPr>
      <t>(hrazené)</t>
    </r>
  </si>
  <si>
    <t>Plán 2025 upravený 11-2024</t>
  </si>
  <si>
    <t>Schválený rozpočet (plán NaV 2024 navýšené energie )</t>
  </si>
  <si>
    <t>Březenecká 4679, Chomutov 43004</t>
  </si>
  <si>
    <t>Základní škola Chomutov, Březenecká 4679</t>
  </si>
  <si>
    <t>Mgr. Ivana Dudková</t>
  </si>
  <si>
    <t>Ing. Martina Črepová</t>
  </si>
  <si>
    <t xml:space="preserve">Rezervní fond - v rezervním fondu jsou zahrnuty  částky ze zlepšeného HV a z dotací NPO a Šablony I OP JAK, které nebyly vyčerpány v min. roce. </t>
  </si>
  <si>
    <t>Náklady - navýšení spotřeby energií z příspěvku zřizovatele o 200 tis. a z vlastních výnosů o 50 tis. a navýšení nákladů na opravy a udržování o 300 tis. z příspěvku zřizovatele.</t>
  </si>
  <si>
    <t xml:space="preserve">Schválený rozpočet ( plán NaV 2024 ) - Výnosy -   navýšení provozního příspěvku zřizovatele o 200 tis. - na úhradu energií a účelový příspěvek zřizovatele navýšen o 300 tis. - ÚZ 812 - účelový neinvestiční příspěvek od zřizovatele. </t>
  </si>
  <si>
    <t>Hornická 4387, Chomutov 43003</t>
  </si>
  <si>
    <t>Základní škola Chomutov, Hornická 4387</t>
  </si>
  <si>
    <t>Mgr. Ilona Zahálková</t>
  </si>
  <si>
    <t>Hana Novotná</t>
  </si>
  <si>
    <t>Kadaňská 2334, 430 03 Chomutov</t>
  </si>
  <si>
    <t>Základní škola Chomutov, Kadaňská 2334, 430 03 Chomutov</t>
  </si>
  <si>
    <t>Hons Miloslav</t>
  </si>
  <si>
    <t>Moravcová Marcela</t>
  </si>
  <si>
    <t>participativní rozpočet 50 tis</t>
  </si>
  <si>
    <t>ERASMUS 952,6 tis</t>
  </si>
  <si>
    <t>příspěvek zřizovatele: ÚZ 702 mzdy - 238,7 tis</t>
  </si>
  <si>
    <t>Organize v roce 2025 počítá se snížením rozpočtu v oblasti energií (elektřina) cca o 250 tis. Navýšení cen  je možné v oblasti materiálu a služeb</t>
  </si>
  <si>
    <t>Rezervní fond-nespotřebované projekty</t>
  </si>
  <si>
    <t>rezervní fond-ze zlepšeného HV</t>
  </si>
  <si>
    <t>Na Příkopech 895,430 01 Chomutov</t>
  </si>
  <si>
    <t>Základní škola Chomutov, Na Příkopech 895</t>
  </si>
  <si>
    <t>Mgr. Miroslav Žalud</t>
  </si>
  <si>
    <t>Kebrlová Jana</t>
  </si>
  <si>
    <t>V tabulce stavy peněžitých fondů uvádíme v kolonce Rezervní fond jak stav,tvorbu a čerpání rezervního fondu ze zlěpšeného HV tak i fondu tvořeného z ostatních titulů ( dotace, dary ).</t>
  </si>
  <si>
    <t>Škola bude dále uzavírat dohody o provedení práce související s údržbou sportoviště.</t>
  </si>
  <si>
    <t>položka náklady na energie stejná jako v roce 2024.</t>
  </si>
  <si>
    <t xml:space="preserve">Návrh rozpočtu na rok 2025 vychází ze stejné výše,  v jaké byl provozní příspěvek zřizovatele schválen pro rok 2024. I přes to, že pro rok 2025 byla zřizovatelem vysoutěžena nižší cena elektřiny než pro rok 2024, počítáme v roce 2025 s provozem robotické sekačky a mlhoviště na školou spravovaném sportovišti a tím také s navýšením spotřeby elektřiny i vody  Proto v návrhu rozpočtu zůstává </t>
  </si>
  <si>
    <t>Rezervní fond ( RF ze zlepšeného HV + RF z ost.titulů - dotace, dary )</t>
  </si>
  <si>
    <t>Stav k 30.6.</t>
  </si>
  <si>
    <t>Písečná 5144, 430 04 Chomutov</t>
  </si>
  <si>
    <t>Základní škola Chomutov, Písečná 5144</t>
  </si>
  <si>
    <t>Návrh rozpočtu 2025 - úprava k 10.10.2024</t>
  </si>
  <si>
    <t xml:space="preserve">mgr Bc. Kateřina Burket </t>
  </si>
  <si>
    <t xml:space="preserve">Edita Drexlerová </t>
  </si>
  <si>
    <t>Odvod do rozpočtu zřizovatele k 30.6.2024 se skládá z částky 500.000,- Kč - nařízený odvod a částky za odpis budov do 30.6.2024.</t>
  </si>
  <si>
    <t>Odpisy na rok 2025: vychází z předpokladu odpisů. I tady může dojít ke změně, z důvodu předání již dokončených učeben (odborná učebna přírodní vědy a řemesla)</t>
  </si>
  <si>
    <t xml:space="preserve">V rozpočtu na rok 2025-energie: vzhledem k tomu, že v srpnu 2024 nejsme schopni určit cenu energií na rok 2025 - vycházíme z předpokladu, kterou jsme určili v návrhu rozpočtu v letošním roce. </t>
  </si>
  <si>
    <t xml:space="preserve">z toho OP JAK </t>
  </si>
  <si>
    <t xml:space="preserve">z toho NPO </t>
  </si>
  <si>
    <t>Školní 1480/61, Chomutov, 430 01</t>
  </si>
  <si>
    <t>Základní škola Chomutov, Školní 1480</t>
  </si>
  <si>
    <t>Mgr. Libuše Slavíková</t>
  </si>
  <si>
    <t>Věra Čmejrková</t>
  </si>
  <si>
    <t>Odvod do rozpočtu zřizovatele v r.2025 navýšen (odhadem)  - TZ budovy- rekonstrukce školní kuchyně (investiční akce č.32205) v 03/2023.  - upřesněno bude po proplacení dotace a nastavení odpisu transferu.</t>
  </si>
  <si>
    <t>Náklady na energie poníženy z důvodu příslibu nižších cen.</t>
  </si>
  <si>
    <t>Náklady na opravy a udržování zdůvodnění navýšení:   veškeré finance MMCH "velké opravy" byly použity na zázemí školní kuchyně (požadavek Hygieny) + dofinancováno bylo z prostředků školy částkou 122.000,- Kč. V plánu jsou nutné další opravy.</t>
  </si>
  <si>
    <t>Rezervní fond z ostatních titulů</t>
  </si>
  <si>
    <t>Rezervní fond ze zlepšeného HV</t>
  </si>
  <si>
    <t>Zahradní 5265</t>
  </si>
  <si>
    <t>Základní škola Chomutov, Zahradní 5265</t>
  </si>
  <si>
    <t>Mgr. Karel Žižka</t>
  </si>
  <si>
    <t>Bc. Lenka Maříková</t>
  </si>
  <si>
    <t>schválil</t>
  </si>
  <si>
    <t>sestavila</t>
  </si>
  <si>
    <t>Pro rok 2025 neplánujeme žádnou investiční akci. Vzhledem k výši prostředků na FRIM je možná spoluúčast na větší investiční akci viz. projektový záměr - výměna elektroistalace.</t>
  </si>
  <si>
    <t>Na případné výkyvy rozpočtu má organizace dostatek finančních prostředků v rezervním fondu.</t>
  </si>
  <si>
    <t>Příjmy a výdaje projektu Intereg nám budou známy až po poptávkových řízeníchv roce 2025,  tedy až bude známa naše skutečná spoluúčast.</t>
  </si>
  <si>
    <t>Ostatní rozpočtované položky jsou hrazeny z vlastních zdrojů, které jsou nám známy až po skutečném výběru úplaty za vzdělání, tedy podle toho kolik žáků skutečně nastoupí. Od počtu žáků se také vyvýjí úvazek pedagogů a tedy rozpočet na platy ze SR, který nám bude znám až na počátku roku 2025.</t>
  </si>
  <si>
    <t xml:space="preserve">Z opatrnosti tak ponecháváme rozpočet na energie cca. ve výši rozpočtu na rok 2024. </t>
  </si>
  <si>
    <t>Při sestavování rozpočtu nám nebyly známy ceny za dodávku tepla a teplé vody od ČEZ ani ceny vodného a stočného, kdy předpokládáme zvýšení minimálně ve výši inflace, naopak vysoutěžená cena el. energie se vrací na cenu roku 2023, resp. je dokonce nižší.</t>
  </si>
  <si>
    <t xml:space="preserve">Z prostředků účelově určených hradí organizace náklady na kulturu a mzdy - zvýšení platové úrovně pedagogů. </t>
  </si>
  <si>
    <t>Z prostředků provozního příspěvku organizace hradí pouze náklady na odpisy, mzdy (DPP Akademie seniorů) a energie</t>
  </si>
  <si>
    <t>Návrh rozpočtu a požadavku na provozní příspěvek na rok 2025 vychází z porovnání výsledku hospodaření z let minulých a předpokladu pro rok 2025.</t>
  </si>
  <si>
    <t>Náměstí T. G. Masaryka 1626, 43001 Chomutov</t>
  </si>
  <si>
    <t>Základní umělecká škola T. G. Masaryka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</si>
</sst>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#,##0.0_ ;[Red]\-#,##0.0\ "/>
    <numFmt numFmtId="167" formatCode="#,##0.00_ ;[Red]\-#,##0.00\ "/>
    <numFmt numFmtId="168" formatCode="0.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27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52" xfId="0" applyFont="1" applyFill="1" applyBorder="1" applyAlignment="1" applyProtection="1">
      <alignment horizontal="left"/>
      <protection locked="0"/>
    </xf>
    <xf numFmtId="164" fontId="0" fillId="0" borderId="40" xfId="0" applyNumberFormat="1" applyFont="1" applyFill="1" applyBorder="1" applyProtection="1">
      <protection locked="0"/>
    </xf>
    <xf numFmtId="164" fontId="0" fillId="0" borderId="2" xfId="0" applyNumberFormat="1" applyBorder="1"/>
    <xf numFmtId="164" fontId="7" fillId="0" borderId="2" xfId="0" applyNumberFormat="1" applyFont="1" applyBorder="1"/>
    <xf numFmtId="49" fontId="1" fillId="0" borderId="0" xfId="0" applyNumberFormat="1" applyFont="1" applyFill="1" applyAlignment="1" applyProtection="1">
      <alignment horizontal="left"/>
      <protection locked="0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0" fontId="1" fillId="8" borderId="0" xfId="0" applyFont="1" applyFill="1"/>
    <xf numFmtId="164" fontId="8" fillId="0" borderId="1" xfId="0" applyNumberFormat="1" applyFont="1" applyFill="1" applyBorder="1" applyProtection="1"/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8" borderId="0" xfId="0" applyFont="1" applyFill="1" applyAlignment="1" applyProtection="1">
      <alignment horizontal="left"/>
      <protection locked="0"/>
    </xf>
    <xf numFmtId="0" fontId="11" fillId="8" borderId="0" xfId="2" applyFont="1" applyFill="1"/>
    <xf numFmtId="0" fontId="11" fillId="8" borderId="0" xfId="0" applyFont="1" applyFill="1"/>
    <xf numFmtId="0" fontId="0" fillId="0" borderId="10" xfId="0" applyBorder="1"/>
    <xf numFmtId="0" fontId="0" fillId="0" borderId="52" xfId="0" applyBorder="1"/>
    <xf numFmtId="0" fontId="1" fillId="0" borderId="52" xfId="0" applyFont="1" applyBorder="1" applyAlignment="1" applyProtection="1">
      <alignment horizontal="left"/>
      <protection locked="0"/>
    </xf>
    <xf numFmtId="0" fontId="11" fillId="0" borderId="52" xfId="2" applyFont="1" applyBorder="1"/>
    <xf numFmtId="0" fontId="11" fillId="0" borderId="52" xfId="0" applyFont="1" applyBorder="1"/>
    <xf numFmtId="0" fontId="11" fillId="0" borderId="8" xfId="2" applyFont="1" applyBorder="1"/>
    <xf numFmtId="0" fontId="0" fillId="0" borderId="36" xfId="0" applyBorder="1"/>
    <xf numFmtId="0" fontId="1" fillId="0" borderId="0" xfId="0" applyFont="1" applyAlignment="1" applyProtection="1">
      <alignment horizontal="left"/>
      <protection locked="0"/>
    </xf>
    <xf numFmtId="0" fontId="11" fillId="0" borderId="0" xfId="2" applyFont="1"/>
    <xf numFmtId="0" fontId="11" fillId="0" borderId="0" xfId="0" applyFont="1"/>
    <xf numFmtId="0" fontId="11" fillId="0" borderId="22" xfId="2" applyFont="1" applyBorder="1"/>
    <xf numFmtId="0" fontId="1" fillId="0" borderId="22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/>
    <xf numFmtId="0" fontId="0" fillId="0" borderId="40" xfId="0" applyBorder="1"/>
    <xf numFmtId="0" fontId="0" fillId="0" borderId="39" xfId="0" applyBorder="1"/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164" fontId="5" fillId="8" borderId="0" xfId="0" applyNumberFormat="1" applyFont="1" applyFill="1" applyAlignment="1">
      <alignment horizontal="right"/>
    </xf>
    <xf numFmtId="164" fontId="1" fillId="8" borderId="0" xfId="0" applyNumberFormat="1" applyFont="1" applyFill="1"/>
    <xf numFmtId="0" fontId="1" fillId="8" borderId="0" xfId="0" applyFont="1" applyFill="1" applyAlignment="1">
      <alignment horizontal="center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164" fontId="1" fillId="0" borderId="48" xfId="0" applyNumberFormat="1" applyFont="1" applyBorder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" fillId="8" borderId="0" xfId="0" applyNumberFormat="1" applyFont="1" applyFill="1" applyAlignment="1" applyProtection="1">
      <alignment horizontal="right"/>
      <protection locked="0"/>
    </xf>
    <xf numFmtId="0" fontId="1" fillId="12" borderId="21" xfId="0" applyFont="1" applyFill="1" applyBorder="1" applyAlignment="1">
      <alignment horizontal="left" vertical="center"/>
    </xf>
    <xf numFmtId="164" fontId="13" fillId="14" borderId="19" xfId="0" applyNumberFormat="1" applyFont="1" applyFill="1" applyBorder="1" applyAlignment="1">
      <alignment horizontal="center" wrapText="1"/>
    </xf>
    <xf numFmtId="164" fontId="13" fillId="8" borderId="0" xfId="0" applyNumberFormat="1" applyFont="1" applyFill="1" applyAlignment="1">
      <alignment horizontal="center" vertical="center" wrapText="1"/>
    </xf>
    <xf numFmtId="0" fontId="1" fillId="12" borderId="58" xfId="0" applyFont="1" applyFill="1" applyBorder="1" applyAlignment="1">
      <alignment horizontal="left" vertical="center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0" borderId="32" xfId="0" applyNumberFormat="1" applyFont="1" applyBorder="1" applyProtection="1">
      <protection locked="0"/>
    </xf>
    <xf numFmtId="0" fontId="1" fillId="12" borderId="47" xfId="0" applyFont="1" applyFill="1" applyBorder="1" applyAlignment="1">
      <alignment horizontal="left" vertical="center"/>
    </xf>
    <xf numFmtId="164" fontId="1" fillId="14" borderId="19" xfId="0" applyNumberFormat="1" applyFont="1" applyFill="1" applyBorder="1"/>
    <xf numFmtId="164" fontId="1" fillId="14" borderId="18" xfId="0" applyNumberFormat="1" applyFont="1" applyFill="1" applyBorder="1"/>
    <xf numFmtId="164" fontId="1" fillId="8" borderId="0" xfId="0" applyNumberFormat="1" applyFont="1" applyFill="1" applyAlignment="1">
      <alignment horizontal="center"/>
    </xf>
    <xf numFmtId="10" fontId="7" fillId="0" borderId="23" xfId="0" applyNumberFormat="1" applyFont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0" fontId="2" fillId="14" borderId="18" xfId="0" applyFont="1" applyFill="1" applyBorder="1"/>
    <xf numFmtId="164" fontId="5" fillId="14" borderId="18" xfId="0" applyNumberFormat="1" applyFont="1" applyFill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35" xfId="0" applyNumberFormat="1" applyFont="1" applyFill="1" applyBorder="1"/>
    <xf numFmtId="0" fontId="2" fillId="0" borderId="41" xfId="0" applyFont="1" applyBorder="1"/>
    <xf numFmtId="0" fontId="2" fillId="0" borderId="41" xfId="0" applyFont="1" applyBorder="1" applyAlignment="1">
      <alignment horizontal="center"/>
    </xf>
    <xf numFmtId="10" fontId="19" fillId="9" borderId="23" xfId="0" applyNumberFormat="1" applyFont="1" applyFill="1" applyBorder="1"/>
    <xf numFmtId="165" fontId="17" fillId="9" borderId="30" xfId="0" applyNumberFormat="1" applyFont="1" applyFill="1" applyBorder="1"/>
    <xf numFmtId="165" fontId="17" fillId="9" borderId="38" xfId="0" applyNumberFormat="1" applyFont="1" applyFill="1" applyBorder="1"/>
    <xf numFmtId="165" fontId="16" fillId="6" borderId="38" xfId="0" applyNumberFormat="1" applyFont="1" applyFill="1" applyBorder="1"/>
    <xf numFmtId="167" fontId="17" fillId="9" borderId="30" xfId="0" applyNumberFormat="1" applyFont="1" applyFill="1" applyBorder="1"/>
    <xf numFmtId="167" fontId="17" fillId="9" borderId="38" xfId="0" applyNumberFormat="1" applyFont="1" applyFill="1" applyBorder="1"/>
    <xf numFmtId="0" fontId="16" fillId="6" borderId="38" xfId="0" applyFont="1" applyFill="1" applyBorder="1" applyAlignment="1">
      <alignment horizontal="left"/>
    </xf>
    <xf numFmtId="0" fontId="16" fillId="0" borderId="38" xfId="0" applyFont="1" applyBorder="1" applyAlignment="1">
      <alignment horizontal="center"/>
    </xf>
    <xf numFmtId="10" fontId="7" fillId="5" borderId="3" xfId="0" applyNumberFormat="1" applyFont="1" applyFill="1" applyBorder="1"/>
    <xf numFmtId="164" fontId="1" fillId="5" borderId="3" xfId="0" applyNumberFormat="1" applyFont="1" applyFill="1" applyBorder="1"/>
    <xf numFmtId="164" fontId="1" fillId="5" borderId="56" xfId="0" applyNumberFormat="1" applyFont="1" applyFill="1" applyBorder="1"/>
    <xf numFmtId="164" fontId="0" fillId="5" borderId="55" xfId="0" applyNumberFormat="1" applyFill="1" applyBorder="1" applyProtection="1">
      <protection locked="0"/>
    </xf>
    <xf numFmtId="164" fontId="1" fillId="5" borderId="34" xfId="0" applyNumberFormat="1" applyFont="1" applyFill="1" applyBorder="1"/>
    <xf numFmtId="167" fontId="1" fillId="5" borderId="3" xfId="0" applyNumberFormat="1" applyFont="1" applyFill="1" applyBorder="1"/>
    <xf numFmtId="167" fontId="1" fillId="5" borderId="56" xfId="0" applyNumberFormat="1" applyFont="1" applyFill="1" applyBorder="1"/>
    <xf numFmtId="167" fontId="0" fillId="5" borderId="55" xfId="0" applyNumberFormat="1" applyFill="1" applyBorder="1" applyProtection="1">
      <protection locked="0"/>
    </xf>
    <xf numFmtId="165" fontId="1" fillId="5" borderId="34" xfId="0" applyNumberFormat="1" applyFont="1" applyFill="1" applyBorder="1"/>
    <xf numFmtId="0" fontId="1" fillId="5" borderId="41" xfId="0" applyFont="1" applyFill="1" applyBorder="1"/>
    <xf numFmtId="0" fontId="1" fillId="0" borderId="3" xfId="0" applyFont="1" applyBorder="1" applyAlignment="1">
      <alignment horizontal="center"/>
    </xf>
    <xf numFmtId="10" fontId="7" fillId="0" borderId="14" xfId="0" applyNumberFormat="1" applyFont="1" applyBorder="1"/>
    <xf numFmtId="164" fontId="0" fillId="0" borderId="14" xfId="0" applyNumberFormat="1" applyBorder="1" applyAlignment="1">
      <alignment horizontal="right"/>
    </xf>
    <xf numFmtId="164" fontId="0" fillId="0" borderId="57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7" fontId="0" fillId="0" borderId="14" xfId="0" applyNumberFormat="1" applyBorder="1" applyAlignment="1">
      <alignment horizontal="right"/>
    </xf>
    <xf numFmtId="167" fontId="0" fillId="0" borderId="57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46" xfId="0" applyBorder="1"/>
    <xf numFmtId="0" fontId="0" fillId="0" borderId="11" xfId="0" applyBorder="1" applyAlignment="1">
      <alignment horizontal="center"/>
    </xf>
    <xf numFmtId="10" fontId="7" fillId="0" borderId="15" xfId="0" applyNumberFormat="1" applyFont="1" applyBorder="1"/>
    <xf numFmtId="164" fontId="0" fillId="0" borderId="15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7" fontId="0" fillId="0" borderId="23" xfId="0" applyNumberFormat="1" applyBorder="1" applyAlignment="1">
      <alignment horizontal="right"/>
    </xf>
    <xf numFmtId="167" fontId="0" fillId="0" borderId="54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50" xfId="0" applyBorder="1"/>
    <xf numFmtId="0" fontId="0" fillId="0" borderId="49" xfId="0" applyBorder="1" applyAlignment="1">
      <alignment horizontal="center"/>
    </xf>
    <xf numFmtId="0" fontId="0" fillId="0" borderId="49" xfId="0" applyBorder="1" applyProtection="1">
      <protection locked="0"/>
    </xf>
    <xf numFmtId="0" fontId="0" fillId="0" borderId="2" xfId="0" applyBorder="1" applyProtection="1">
      <protection locked="0"/>
    </xf>
    <xf numFmtId="0" fontId="7" fillId="0" borderId="50" xfId="0" applyFont="1" applyBorder="1" applyAlignment="1">
      <alignment horizontal="left" indent="5"/>
    </xf>
    <xf numFmtId="0" fontId="7" fillId="0" borderId="50" xfId="0" applyFont="1" applyBorder="1"/>
    <xf numFmtId="164" fontId="0" fillId="0" borderId="13" xfId="0" applyNumberFormat="1" applyBorder="1" applyAlignment="1">
      <alignment horizontal="right"/>
    </xf>
    <xf numFmtId="164" fontId="0" fillId="0" borderId="55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7" fontId="0" fillId="0" borderId="13" xfId="0" applyNumberFormat="1" applyBorder="1" applyAlignment="1">
      <alignment horizontal="right"/>
    </xf>
    <xf numFmtId="167" fontId="0" fillId="0" borderId="55" xfId="0" applyNumberFormat="1" applyBorder="1" applyProtection="1">
      <protection locked="0"/>
    </xf>
    <xf numFmtId="0" fontId="0" fillId="0" borderId="5" xfId="0" applyBorder="1"/>
    <xf numFmtId="0" fontId="0" fillId="0" borderId="4" xfId="0" applyBorder="1" applyAlignment="1">
      <alignment horizontal="center"/>
    </xf>
    <xf numFmtId="10" fontId="15" fillId="0" borderId="21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167" fontId="14" fillId="0" borderId="48" xfId="0" applyNumberFormat="1" applyFon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center"/>
    </xf>
    <xf numFmtId="167" fontId="12" fillId="0" borderId="34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10" fontId="15" fillId="0" borderId="14" xfId="0" applyNumberFormat="1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7" fontId="14" fillId="0" borderId="53" xfId="0" applyNumberFormat="1" applyFon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1" fillId="0" borderId="42" xfId="0" applyNumberFormat="1" applyFont="1" applyBorder="1" applyAlignment="1">
      <alignment horizontal="center"/>
    </xf>
    <xf numFmtId="167" fontId="1" fillId="0" borderId="4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wrapText="1"/>
    </xf>
    <xf numFmtId="10" fontId="15" fillId="0" borderId="30" xfId="0" applyNumberFormat="1" applyFont="1" applyBorder="1" applyAlignment="1">
      <alignment horizontal="center" vertical="center" wrapText="1"/>
    </xf>
    <xf numFmtId="164" fontId="8" fillId="5" borderId="53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41" xfId="0" applyNumberFormat="1" applyFont="1" applyFill="1" applyBorder="1" applyAlignment="1">
      <alignment horizontal="center"/>
    </xf>
    <xf numFmtId="167" fontId="8" fillId="5" borderId="53" xfId="0" applyNumberFormat="1" applyFont="1" applyFill="1" applyBorder="1" applyAlignment="1">
      <alignment horizontal="center"/>
    </xf>
    <xf numFmtId="167" fontId="8" fillId="5" borderId="59" xfId="0" applyNumberFormat="1" applyFont="1" applyFill="1" applyBorder="1" applyAlignment="1">
      <alignment horizontal="center"/>
    </xf>
    <xf numFmtId="167" fontId="8" fillId="5" borderId="42" xfId="0" applyNumberFormat="1" applyFont="1" applyFill="1" applyBorder="1" applyAlignment="1">
      <alignment horizontal="center"/>
    </xf>
    <xf numFmtId="167" fontId="8" fillId="5" borderId="41" xfId="0" applyNumberFormat="1" applyFont="1" applyFill="1" applyBorder="1" applyAlignment="1">
      <alignment horizontal="center"/>
    </xf>
    <xf numFmtId="0" fontId="1" fillId="14" borderId="59" xfId="0" applyFont="1" applyFill="1" applyBorder="1"/>
    <xf numFmtId="0" fontId="0" fillId="14" borderId="58" xfId="0" applyFill="1" applyBorder="1" applyAlignment="1">
      <alignment horizontal="center"/>
    </xf>
    <xf numFmtId="10" fontId="7" fillId="3" borderId="3" xfId="0" applyNumberFormat="1" applyFont="1" applyFill="1" applyBorder="1"/>
    <xf numFmtId="164" fontId="1" fillId="3" borderId="30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167" fontId="1" fillId="3" borderId="30" xfId="0" applyNumberFormat="1" applyFont="1" applyFill="1" applyBorder="1" applyAlignment="1">
      <alignment horizontal="right"/>
    </xf>
    <xf numFmtId="167" fontId="1" fillId="3" borderId="29" xfId="0" applyNumberFormat="1" applyFont="1" applyFill="1" applyBorder="1" applyAlignment="1">
      <alignment horizontal="right"/>
    </xf>
    <xf numFmtId="167" fontId="1" fillId="3" borderId="26" xfId="0" applyNumberFormat="1" applyFont="1" applyFill="1" applyBorder="1" applyAlignment="1">
      <alignment horizontal="right"/>
    </xf>
    <xf numFmtId="167" fontId="1" fillId="3" borderId="25" xfId="0" applyNumberFormat="1" applyFont="1" applyFill="1" applyBorder="1" applyAlignment="1">
      <alignment horizontal="right"/>
    </xf>
    <xf numFmtId="0" fontId="1" fillId="3" borderId="59" xfId="0" applyFont="1" applyFill="1" applyBorder="1"/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11" borderId="44" xfId="0" applyNumberFormat="1" applyFill="1" applyBorder="1" applyAlignment="1">
      <alignment horizontal="right"/>
    </xf>
    <xf numFmtId="164" fontId="0" fillId="11" borderId="11" xfId="0" applyNumberFormat="1" applyFill="1" applyBorder="1" applyAlignment="1">
      <alignment horizontal="right"/>
    </xf>
    <xf numFmtId="167" fontId="0" fillId="0" borderId="16" xfId="0" applyNumberFormat="1" applyBorder="1" applyAlignment="1" applyProtection="1">
      <alignment horizontal="right"/>
      <protection locked="0"/>
    </xf>
    <xf numFmtId="167" fontId="0" fillId="0" borderId="12" xfId="0" applyNumberFormat="1" applyBorder="1" applyAlignment="1" applyProtection="1">
      <alignment horizontal="right"/>
      <protection locked="0"/>
    </xf>
    <xf numFmtId="167" fontId="0" fillId="0" borderId="44" xfId="0" applyNumberFormat="1" applyBorder="1" applyAlignment="1" applyProtection="1">
      <alignment horizontal="right"/>
      <protection locked="0"/>
    </xf>
    <xf numFmtId="167" fontId="0" fillId="11" borderId="44" xfId="0" applyNumberFormat="1" applyFill="1" applyBorder="1" applyAlignment="1">
      <alignment horizontal="right"/>
    </xf>
    <xf numFmtId="167" fontId="0" fillId="11" borderId="11" xfId="0" applyNumberFormat="1" applyFill="1" applyBorder="1" applyAlignment="1">
      <alignment horizontal="right"/>
    </xf>
    <xf numFmtId="0" fontId="0" fillId="0" borderId="6" xfId="0" applyBorder="1" applyAlignment="1">
      <alignment horizontal="left" indent="5"/>
    </xf>
    <xf numFmtId="0" fontId="0" fillId="0" borderId="45" xfId="0" applyBorder="1" applyAlignment="1">
      <alignment horizontal="center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11" borderId="1" xfId="0" applyNumberForma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7" fontId="0" fillId="0" borderId="15" xfId="0" applyNumberFormat="1" applyBorder="1" applyAlignment="1" applyProtection="1">
      <alignment horizontal="right"/>
      <protection locked="0"/>
    </xf>
    <xf numFmtId="167" fontId="0" fillId="0" borderId="43" xfId="0" applyNumberFormat="1" applyBorder="1" applyAlignment="1" applyProtection="1">
      <alignment horizontal="right"/>
      <protection locked="0"/>
    </xf>
    <xf numFmtId="167" fontId="0" fillId="0" borderId="1" xfId="0" applyNumberFormat="1" applyBorder="1" applyAlignment="1" applyProtection="1">
      <alignment horizontal="right"/>
      <protection locked="0"/>
    </xf>
    <xf numFmtId="167" fontId="0" fillId="11" borderId="1" xfId="0" applyNumberFormat="1" applyFill="1" applyBorder="1" applyAlignment="1">
      <alignment horizontal="right"/>
    </xf>
    <xf numFmtId="167" fontId="0" fillId="11" borderId="49" xfId="0" applyNumberFormat="1" applyFill="1" applyBorder="1" applyAlignment="1">
      <alignment horizontal="right"/>
    </xf>
    <xf numFmtId="164" fontId="0" fillId="0" borderId="23" xfId="0" applyNumberFormat="1" applyBorder="1" applyAlignment="1" applyProtection="1">
      <alignment horizontal="right"/>
      <protection locked="0"/>
    </xf>
    <xf numFmtId="167" fontId="0" fillId="0" borderId="23" xfId="0" applyNumberFormat="1" applyBorder="1" applyAlignment="1" applyProtection="1">
      <alignment horizontal="right"/>
      <protection locked="0"/>
    </xf>
    <xf numFmtId="0" fontId="4" fillId="0" borderId="50" xfId="0" applyFont="1" applyBorder="1"/>
    <xf numFmtId="164" fontId="6" fillId="11" borderId="1" xfId="0" applyNumberFormat="1" applyFon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167" fontId="6" fillId="0" borderId="1" xfId="0" applyNumberFormat="1" applyFont="1" applyBorder="1" applyAlignment="1" applyProtection="1">
      <alignment horizontal="right"/>
      <protection locked="0"/>
    </xf>
    <xf numFmtId="167" fontId="6" fillId="11" borderId="1" xfId="0" applyNumberFormat="1" applyFont="1" applyFill="1" applyBorder="1" applyAlignment="1">
      <alignment horizontal="right"/>
    </xf>
    <xf numFmtId="167" fontId="6" fillId="11" borderId="49" xfId="0" applyNumberFormat="1" applyFont="1" applyFill="1" applyBorder="1" applyAlignment="1">
      <alignment horizontal="right"/>
    </xf>
    <xf numFmtId="0" fontId="7" fillId="0" borderId="50" xfId="0" applyFont="1" applyBorder="1" applyAlignment="1">
      <alignment horizontal="left"/>
    </xf>
    <xf numFmtId="164" fontId="0" fillId="2" borderId="15" xfId="0" applyNumberFormat="1" applyFill="1" applyBorder="1" applyAlignment="1" applyProtection="1">
      <alignment horizontal="right"/>
      <protection locked="0"/>
    </xf>
    <xf numFmtId="167" fontId="0" fillId="2" borderId="15" xfId="0" applyNumberFormat="1" applyFill="1" applyBorder="1" applyAlignment="1" applyProtection="1">
      <alignment horizontal="right"/>
      <protection locked="0"/>
    </xf>
    <xf numFmtId="167" fontId="6" fillId="5" borderId="49" xfId="0" applyNumberFormat="1" applyFont="1" applyFill="1" applyBorder="1" applyAlignment="1" applyProtection="1">
      <alignment horizontal="right"/>
      <protection locked="0"/>
    </xf>
    <xf numFmtId="0" fontId="7" fillId="5" borderId="50" xfId="0" applyFont="1" applyFill="1" applyBorder="1"/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7" fontId="0" fillId="2" borderId="23" xfId="0" applyNumberFormat="1" applyFill="1" applyBorder="1" applyAlignment="1" applyProtection="1">
      <alignment horizontal="right"/>
      <protection locked="0"/>
    </xf>
    <xf numFmtId="167" fontId="0" fillId="10" borderId="49" xfId="0" applyNumberFormat="1" applyFill="1" applyBorder="1" applyAlignment="1" applyProtection="1">
      <alignment horizontal="right"/>
      <protection locked="0"/>
    </xf>
    <xf numFmtId="0" fontId="0" fillId="10" borderId="50" xfId="0" applyFill="1" applyBorder="1"/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1" borderId="9" xfId="0" applyNumberFormat="1" applyFill="1" applyBorder="1" applyAlignment="1">
      <alignment horizontal="right"/>
    </xf>
    <xf numFmtId="164" fontId="0" fillId="11" borderId="51" xfId="0" applyNumberFormat="1" applyFill="1" applyBorder="1" applyAlignment="1">
      <alignment horizontal="right"/>
    </xf>
    <xf numFmtId="167" fontId="0" fillId="0" borderId="8" xfId="0" applyNumberFormat="1" applyBorder="1" applyAlignment="1" applyProtection="1">
      <alignment horizontal="right"/>
      <protection locked="0"/>
    </xf>
    <xf numFmtId="167" fontId="0" fillId="0" borderId="9" xfId="0" applyNumberFormat="1" applyBorder="1" applyAlignment="1" applyProtection="1">
      <alignment horizontal="right"/>
      <protection locked="0"/>
    </xf>
    <xf numFmtId="167" fontId="0" fillId="11" borderId="9" xfId="0" applyNumberFormat="1" applyFill="1" applyBorder="1" applyAlignment="1">
      <alignment horizontal="right"/>
    </xf>
    <xf numFmtId="167" fontId="0" fillId="11" borderId="51" xfId="0" applyNumberFormat="1" applyFill="1" applyBorder="1" applyAlignment="1">
      <alignment horizontal="right"/>
    </xf>
    <xf numFmtId="10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" fillId="14" borderId="19" xfId="0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0" fontId="0" fillId="8" borderId="0" xfId="0" applyNumberFormat="1" applyFill="1"/>
    <xf numFmtId="0" fontId="7" fillId="8" borderId="0" xfId="0" applyFont="1" applyFill="1"/>
    <xf numFmtId="0" fontId="3" fillId="0" borderId="0" xfId="0" applyFont="1" applyAlignment="1" applyProtection="1">
      <alignment horizontal="left"/>
      <protection locked="0"/>
    </xf>
    <xf numFmtId="0" fontId="3" fillId="8" borderId="0" xfId="0" applyFont="1" applyFill="1"/>
    <xf numFmtId="0" fontId="21" fillId="0" borderId="22" xfId="0" applyFont="1" applyFill="1" applyBorder="1" applyAlignment="1" applyProtection="1">
      <alignment horizontal="left"/>
      <protection locked="0"/>
    </xf>
    <xf numFmtId="0" fontId="0" fillId="13" borderId="22" xfId="0" applyFont="1" applyFill="1" applyBorder="1" applyAlignment="1" applyProtection="1">
      <alignment horizontal="left"/>
      <protection locked="0"/>
    </xf>
    <xf numFmtId="0" fontId="1" fillId="13" borderId="22" xfId="0" applyFont="1" applyFill="1" applyBorder="1" applyAlignment="1" applyProtection="1">
      <alignment horizontal="left"/>
      <protection locked="0"/>
    </xf>
    <xf numFmtId="0" fontId="21" fillId="13" borderId="22" xfId="0" applyFont="1" applyFill="1" applyBorder="1" applyAlignment="1" applyProtection="1">
      <alignment horizontal="left"/>
      <protection locked="0"/>
    </xf>
    <xf numFmtId="0" fontId="21" fillId="13" borderId="0" xfId="0" applyFont="1" applyFill="1" applyBorder="1" applyAlignment="1" applyProtection="1">
      <alignment horizontal="left"/>
      <protection locked="0"/>
    </xf>
    <xf numFmtId="0" fontId="0" fillId="13" borderId="0" xfId="0" applyFill="1" applyBorder="1"/>
    <xf numFmtId="0" fontId="0" fillId="13" borderId="22" xfId="0" applyFill="1" applyBorder="1"/>
    <xf numFmtId="164" fontId="0" fillId="0" borderId="24" xfId="0" applyNumberFormat="1" applyFont="1" applyFill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39" xfId="0" applyNumberFormat="1" applyFont="1" applyFill="1" applyBorder="1" applyAlignment="1" applyProtection="1">
      <alignment horizontal="right"/>
      <protection locked="0"/>
    </xf>
    <xf numFmtId="164" fontId="0" fillId="0" borderId="61" xfId="0" applyNumberFormat="1" applyFont="1" applyFill="1" applyBorder="1" applyAlignment="1" applyProtection="1">
      <alignment horizontal="right"/>
      <protection locked="0"/>
    </xf>
    <xf numFmtId="164" fontId="0" fillId="0" borderId="49" xfId="0" applyNumberFormat="1" applyFont="1" applyFill="1" applyBorder="1" applyAlignment="1" applyProtection="1">
      <alignment horizontal="righ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40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3" fontId="0" fillId="0" borderId="0" xfId="0" applyNumberFormat="1"/>
    <xf numFmtId="3" fontId="0" fillId="8" borderId="0" xfId="0" applyNumberFormat="1" applyFill="1"/>
    <xf numFmtId="3" fontId="1" fillId="8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3" fontId="0" fillId="0" borderId="52" xfId="0" applyNumberFormat="1" applyBorder="1"/>
    <xf numFmtId="0" fontId="7" fillId="0" borderId="0" xfId="0" applyFont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1" fillId="0" borderId="22" xfId="0" applyFont="1" applyBorder="1"/>
    <xf numFmtId="3" fontId="0" fillId="0" borderId="39" xfId="0" applyNumberFormat="1" applyBorder="1"/>
    <xf numFmtId="3" fontId="5" fillId="8" borderId="0" xfId="0" applyNumberFormat="1" applyFont="1" applyFill="1" applyAlignment="1">
      <alignment horizontal="right"/>
    </xf>
    <xf numFmtId="3" fontId="1" fillId="8" borderId="0" xfId="0" applyNumberFormat="1" applyFont="1" applyFill="1"/>
    <xf numFmtId="3" fontId="1" fillId="0" borderId="1" xfId="0" applyNumberFormat="1" applyFont="1" applyBorder="1" applyProtection="1">
      <protection locked="0"/>
    </xf>
    <xf numFmtId="164" fontId="22" fillId="8" borderId="0" xfId="0" applyNumberFormat="1" applyFont="1" applyFill="1"/>
    <xf numFmtId="164" fontId="8" fillId="0" borderId="1" xfId="0" applyNumberFormat="1" applyFont="1" applyBorder="1" applyProtection="1">
      <protection locked="0"/>
    </xf>
    <xf numFmtId="3" fontId="1" fillId="12" borderId="1" xfId="0" applyNumberFormat="1" applyFont="1" applyFill="1" applyBorder="1" applyAlignment="1">
      <alignment horizontal="center"/>
    </xf>
    <xf numFmtId="164" fontId="8" fillId="12" borderId="1" xfId="0" applyNumberFormat="1" applyFont="1" applyFill="1" applyBorder="1" applyAlignment="1">
      <alignment horizontal="center"/>
    </xf>
    <xf numFmtId="0" fontId="6" fillId="8" borderId="0" xfId="0" applyFont="1" applyFill="1"/>
    <xf numFmtId="3" fontId="1" fillId="0" borderId="1" xfId="0" applyNumberFormat="1" applyFont="1" applyBorder="1"/>
    <xf numFmtId="3" fontId="1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/>
    <xf numFmtId="164" fontId="8" fillId="0" borderId="1" xfId="0" applyNumberFormat="1" applyFont="1" applyBorder="1"/>
    <xf numFmtId="164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1" fillId="0" borderId="48" xfId="0" applyNumberFormat="1" applyFont="1" applyBorder="1" applyProtection="1">
      <protection locked="0"/>
    </xf>
    <xf numFmtId="3" fontId="1" fillId="0" borderId="31" xfId="0" applyNumberFormat="1" applyFont="1" applyBorder="1" applyProtection="1">
      <protection locked="0"/>
    </xf>
    <xf numFmtId="3" fontId="13" fillId="14" borderId="19" xfId="0" applyNumberFormat="1" applyFont="1" applyFill="1" applyBorder="1" applyAlignment="1">
      <alignment horizontal="center" wrapText="1"/>
    </xf>
    <xf numFmtId="3" fontId="13" fillId="14" borderId="34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Protection="1">
      <protection locked="0"/>
    </xf>
    <xf numFmtId="3" fontId="1" fillId="0" borderId="20" xfId="0" applyNumberFormat="1" applyFont="1" applyBorder="1" applyProtection="1">
      <protection locked="0"/>
    </xf>
    <xf numFmtId="3" fontId="1" fillId="0" borderId="32" xfId="0" applyNumberFormat="1" applyFont="1" applyBorder="1" applyProtection="1">
      <protection locked="0"/>
    </xf>
    <xf numFmtId="3" fontId="1" fillId="14" borderId="19" xfId="0" applyNumberFormat="1" applyFont="1" applyFill="1" applyBorder="1"/>
    <xf numFmtId="3" fontId="1" fillId="14" borderId="18" xfId="0" applyNumberFormat="1" applyFont="1" applyFill="1" applyBorder="1"/>
    <xf numFmtId="3" fontId="1" fillId="14" borderId="34" xfId="0" applyNumberFormat="1" applyFont="1" applyFill="1" applyBorder="1" applyProtection="1">
      <protection locked="0"/>
    </xf>
    <xf numFmtId="3" fontId="1" fillId="8" borderId="0" xfId="0" applyNumberFormat="1" applyFont="1" applyFill="1" applyAlignment="1">
      <alignment horizontal="center"/>
    </xf>
    <xf numFmtId="3" fontId="2" fillId="7" borderId="3" xfId="0" applyNumberFormat="1" applyFont="1" applyFill="1" applyBorder="1"/>
    <xf numFmtId="3" fontId="5" fillId="14" borderId="19" xfId="0" applyNumberFormat="1" applyFont="1" applyFill="1" applyBorder="1"/>
    <xf numFmtId="3" fontId="2" fillId="14" borderId="18" xfId="0" applyNumberFormat="1" applyFont="1" applyFill="1" applyBorder="1"/>
    <xf numFmtId="3" fontId="5" fillId="14" borderId="18" xfId="0" applyNumberFormat="1" applyFont="1" applyFill="1" applyBorder="1"/>
    <xf numFmtId="3" fontId="5" fillId="14" borderId="34" xfId="0" applyNumberFormat="1" applyFont="1" applyFill="1" applyBorder="1" applyAlignment="1">
      <alignment horizontal="center"/>
    </xf>
    <xf numFmtId="3" fontId="5" fillId="14" borderId="35" xfId="0" applyNumberFormat="1" applyFont="1" applyFill="1" applyBorder="1"/>
    <xf numFmtId="3" fontId="17" fillId="9" borderId="30" xfId="0" applyNumberFormat="1" applyFont="1" applyFill="1" applyBorder="1"/>
    <xf numFmtId="3" fontId="17" fillId="9" borderId="38" xfId="0" applyNumberFormat="1" applyFont="1" applyFill="1" applyBorder="1"/>
    <xf numFmtId="3" fontId="16" fillId="6" borderId="38" xfId="0" applyNumberFormat="1" applyFont="1" applyFill="1" applyBorder="1"/>
    <xf numFmtId="3" fontId="1" fillId="5" borderId="3" xfId="0" applyNumberFormat="1" applyFont="1" applyFill="1" applyBorder="1"/>
    <xf numFmtId="3" fontId="1" fillId="5" borderId="56" xfId="0" applyNumberFormat="1" applyFont="1" applyFill="1" applyBorder="1"/>
    <xf numFmtId="3" fontId="0" fillId="5" borderId="55" xfId="0" applyNumberFormat="1" applyFill="1" applyBorder="1" applyProtection="1">
      <protection locked="0"/>
    </xf>
    <xf numFmtId="3" fontId="1" fillId="5" borderId="34" xfId="0" applyNumberFormat="1" applyFont="1" applyFill="1" applyBorder="1"/>
    <xf numFmtId="3" fontId="0" fillId="0" borderId="14" xfId="0" applyNumberFormat="1" applyBorder="1" applyAlignment="1">
      <alignment horizontal="right"/>
    </xf>
    <xf numFmtId="3" fontId="0" fillId="0" borderId="57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23" xfId="0" applyNumberFormat="1" applyBorder="1" applyAlignment="1">
      <alignment horizontal="right"/>
    </xf>
    <xf numFmtId="3" fontId="0" fillId="0" borderId="2" xfId="0" applyNumberFormat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0" borderId="13" xfId="0" applyNumberFormat="1" applyBorder="1" applyAlignment="1">
      <alignment horizontal="right"/>
    </xf>
    <xf numFmtId="3" fontId="0" fillId="0" borderId="55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4" fillId="0" borderId="48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2" fillId="0" borderId="35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3" fontId="14" fillId="0" borderId="53" xfId="0" applyNumberFormat="1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/>
    </xf>
    <xf numFmtId="3" fontId="1" fillId="0" borderId="41" xfId="0" applyNumberFormat="1" applyFont="1" applyBorder="1" applyAlignment="1">
      <alignment horizontal="center"/>
    </xf>
    <xf numFmtId="3" fontId="8" fillId="5" borderId="53" xfId="0" applyNumberFormat="1" applyFont="1" applyFill="1" applyBorder="1" applyAlignment="1">
      <alignment horizontal="center"/>
    </xf>
    <xf numFmtId="3" fontId="8" fillId="5" borderId="59" xfId="0" applyNumberFormat="1" applyFont="1" applyFill="1" applyBorder="1" applyAlignment="1">
      <alignment horizontal="center"/>
    </xf>
    <xf numFmtId="3" fontId="8" fillId="5" borderId="42" xfId="0" applyNumberFormat="1" applyFont="1" applyFill="1" applyBorder="1" applyAlignment="1">
      <alignment horizontal="center"/>
    </xf>
    <xf numFmtId="3" fontId="8" fillId="5" borderId="41" xfId="0" applyNumberFormat="1" applyFont="1" applyFill="1" applyBorder="1" applyAlignment="1">
      <alignment horizontal="center"/>
    </xf>
    <xf numFmtId="9" fontId="0" fillId="0" borderId="0" xfId="0" applyNumberFormat="1"/>
    <xf numFmtId="3" fontId="1" fillId="3" borderId="30" xfId="0" applyNumberFormat="1" applyFont="1" applyFill="1" applyBorder="1" applyAlignment="1">
      <alignment horizontal="right"/>
    </xf>
    <xf numFmtId="3" fontId="1" fillId="3" borderId="29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0" fillId="0" borderId="16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3" fontId="0" fillId="0" borderId="44" xfId="0" applyNumberFormat="1" applyBorder="1" applyAlignment="1" applyProtection="1">
      <alignment horizontal="right"/>
      <protection locked="0"/>
    </xf>
    <xf numFmtId="3" fontId="0" fillId="11" borderId="44" xfId="0" applyNumberFormat="1" applyFill="1" applyBorder="1" applyAlignment="1">
      <alignment horizontal="right"/>
    </xf>
    <xf numFmtId="3" fontId="0" fillId="11" borderId="11" xfId="0" applyNumberFormat="1" applyFill="1" applyBorder="1" applyAlignment="1">
      <alignment horizontal="right"/>
    </xf>
    <xf numFmtId="3" fontId="0" fillId="0" borderId="15" xfId="0" applyNumberFormat="1" applyBorder="1" applyAlignment="1" applyProtection="1">
      <alignment horizontal="right"/>
      <protection locked="0"/>
    </xf>
    <xf numFmtId="3" fontId="0" fillId="0" borderId="43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11" borderId="1" xfId="0" applyNumberFormat="1" applyFill="1" applyBorder="1" applyAlignment="1">
      <alignment horizontal="right"/>
    </xf>
    <xf numFmtId="3" fontId="0" fillId="11" borderId="49" xfId="0" applyNumberFormat="1" applyFill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11" borderId="1" xfId="0" applyNumberFormat="1" applyFont="1" applyFill="1" applyBorder="1" applyAlignment="1">
      <alignment horizontal="right"/>
    </xf>
    <xf numFmtId="3" fontId="6" fillId="11" borderId="49" xfId="0" applyNumberFormat="1" applyFont="1" applyFill="1" applyBorder="1" applyAlignment="1">
      <alignment horizontal="right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6" fillId="5" borderId="49" xfId="0" applyNumberFormat="1" applyFont="1" applyFill="1" applyBorder="1" applyAlignment="1" applyProtection="1">
      <alignment horizontal="right"/>
      <protection locked="0"/>
    </xf>
    <xf numFmtId="3" fontId="0" fillId="2" borderId="23" xfId="0" applyNumberFormat="1" applyFill="1" applyBorder="1" applyAlignment="1" applyProtection="1">
      <alignment horizontal="right"/>
      <protection locked="0"/>
    </xf>
    <xf numFmtId="3" fontId="0" fillId="10" borderId="49" xfId="0" applyNumberFormat="1" applyFill="1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3" fontId="0" fillId="11" borderId="9" xfId="0" applyNumberFormat="1" applyFill="1" applyBorder="1" applyAlignment="1">
      <alignment horizontal="right"/>
    </xf>
    <xf numFmtId="3" fontId="0" fillId="11" borderId="51" xfId="0" applyNumberFormat="1" applyFill="1" applyBorder="1" applyAlignment="1">
      <alignment horizontal="right"/>
    </xf>
    <xf numFmtId="3" fontId="1" fillId="0" borderId="21" xfId="0" applyNumberFormat="1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1" fillId="3" borderId="56" xfId="0" applyNumberFormat="1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horizontal="center" vertical="center" wrapText="1"/>
    </xf>
    <xf numFmtId="3" fontId="1" fillId="4" borderId="29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28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7" fillId="8" borderId="0" xfId="0" applyNumberFormat="1" applyFont="1" applyFill="1"/>
    <xf numFmtId="3" fontId="1" fillId="0" borderId="0" xfId="0" applyNumberFormat="1" applyFont="1" applyAlignment="1" applyProtection="1">
      <alignment horizontal="left"/>
      <protection locked="0"/>
    </xf>
    <xf numFmtId="10" fontId="7" fillId="2" borderId="23" xfId="4" applyNumberFormat="1" applyFont="1" applyFill="1" applyBorder="1" applyProtection="1"/>
    <xf numFmtId="10" fontId="7" fillId="9" borderId="3" xfId="4" applyNumberFormat="1" applyFont="1" applyFill="1" applyBorder="1" applyProtection="1"/>
    <xf numFmtId="167" fontId="17" fillId="9" borderId="30" xfId="0" applyNumberFormat="1" applyFont="1" applyFill="1" applyBorder="1" applyAlignment="1" applyProtection="1"/>
    <xf numFmtId="167" fontId="17" fillId="9" borderId="38" xfId="0" applyNumberFormat="1" applyFont="1" applyFill="1" applyBorder="1" applyAlignment="1" applyProtection="1"/>
    <xf numFmtId="10" fontId="7" fillId="15" borderId="30" xfId="4" applyNumberFormat="1" applyFont="1" applyFill="1" applyBorder="1" applyProtection="1"/>
    <xf numFmtId="167" fontId="1" fillId="5" borderId="3" xfId="0" applyNumberFormat="1" applyFont="1" applyFill="1" applyBorder="1" applyProtection="1"/>
    <xf numFmtId="10" fontId="7" fillId="0" borderId="14" xfId="4" applyNumberFormat="1" applyFont="1" applyFill="1" applyBorder="1" applyProtection="1"/>
    <xf numFmtId="167" fontId="0" fillId="0" borderId="14" xfId="0" applyNumberFormat="1" applyFont="1" applyFill="1" applyBorder="1" applyAlignment="1" applyProtection="1">
      <alignment horizontal="right"/>
    </xf>
    <xf numFmtId="10" fontId="7" fillId="0" borderId="23" xfId="4" applyNumberFormat="1" applyFont="1" applyFill="1" applyBorder="1" applyProtection="1"/>
    <xf numFmtId="167" fontId="0" fillId="0" borderId="23" xfId="0" applyNumberFormat="1" applyFont="1" applyFill="1" applyBorder="1" applyAlignment="1" applyProtection="1">
      <alignment horizontal="right"/>
    </xf>
    <xf numFmtId="0" fontId="0" fillId="0" borderId="2" xfId="0" applyFont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67" fontId="0" fillId="0" borderId="13" xfId="0" applyNumberFormat="1" applyFont="1" applyFill="1" applyBorder="1" applyAlignment="1" applyProtection="1">
      <alignment horizontal="right"/>
    </xf>
    <xf numFmtId="10" fontId="15" fillId="0" borderId="21" xfId="4" applyNumberFormat="1" applyFont="1" applyFill="1" applyBorder="1" applyAlignment="1" applyProtection="1">
      <alignment horizontal="center" vertical="center" wrapText="1"/>
    </xf>
    <xf numFmtId="167" fontId="14" fillId="0" borderId="48" xfId="0" applyNumberFormat="1" applyFont="1" applyFill="1" applyBorder="1" applyAlignment="1" applyProtection="1">
      <alignment horizontal="center" vertical="center"/>
    </xf>
    <xf numFmtId="167" fontId="0" fillId="0" borderId="21" xfId="0" applyNumberFormat="1" applyFont="1" applyBorder="1" applyAlignment="1" applyProtection="1">
      <alignment horizontal="center" vertical="center"/>
    </xf>
    <xf numFmtId="167" fontId="0" fillId="0" borderId="20" xfId="0" applyNumberFormat="1" applyFont="1" applyBorder="1" applyAlignment="1" applyProtection="1">
      <alignment horizontal="center" vertical="center"/>
    </xf>
    <xf numFmtId="167" fontId="12" fillId="0" borderId="35" xfId="0" applyNumberFormat="1" applyFont="1" applyBorder="1" applyAlignment="1" applyProtection="1">
      <alignment horizontal="center"/>
    </xf>
    <xf numFmtId="167" fontId="12" fillId="0" borderId="18" xfId="0" applyNumberFormat="1" applyFont="1" applyBorder="1" applyAlignment="1" applyProtection="1">
      <alignment horizontal="center"/>
    </xf>
    <xf numFmtId="167" fontId="12" fillId="0" borderId="34" xfId="0" applyNumberFormat="1" applyFont="1" applyBorder="1" applyAlignment="1" applyProtection="1">
      <alignment horizontal="center"/>
    </xf>
    <xf numFmtId="10" fontId="15" fillId="0" borderId="14" xfId="4" applyNumberFormat="1" applyFont="1" applyFill="1" applyBorder="1" applyAlignment="1" applyProtection="1">
      <alignment horizontal="center" vertical="center" wrapText="1"/>
    </xf>
    <xf numFmtId="167" fontId="14" fillId="0" borderId="53" xfId="0" applyNumberFormat="1" applyFont="1" applyFill="1" applyBorder="1" applyAlignment="1" applyProtection="1">
      <alignment horizontal="center" vertical="center"/>
    </xf>
    <xf numFmtId="167" fontId="0" fillId="0" borderId="30" xfId="0" applyNumberFormat="1" applyFont="1" applyBorder="1" applyAlignment="1" applyProtection="1">
      <alignment horizontal="center" vertical="center"/>
    </xf>
    <xf numFmtId="167" fontId="0" fillId="0" borderId="27" xfId="0" applyNumberFormat="1" applyFont="1" applyBorder="1" applyAlignment="1" applyProtection="1">
      <alignment horizontal="center" vertical="center"/>
    </xf>
    <xf numFmtId="167" fontId="1" fillId="0" borderId="42" xfId="0" applyNumberFormat="1" applyFont="1" applyBorder="1" applyAlignment="1" applyProtection="1">
      <alignment horizontal="center"/>
    </xf>
    <xf numFmtId="167" fontId="1" fillId="0" borderId="41" xfId="0" applyNumberFormat="1" applyFont="1" applyBorder="1" applyAlignment="1" applyProtection="1">
      <alignment horizontal="center"/>
    </xf>
    <xf numFmtId="10" fontId="15" fillId="0" borderId="30" xfId="4" applyNumberFormat="1" applyFont="1" applyFill="1" applyBorder="1" applyAlignment="1" applyProtection="1">
      <alignment horizontal="center" vertical="center" wrapText="1"/>
    </xf>
    <xf numFmtId="167" fontId="8" fillId="5" borderId="53" xfId="0" applyNumberFormat="1" applyFont="1" applyFill="1" applyBorder="1" applyAlignment="1" applyProtection="1">
      <alignment horizontal="center"/>
    </xf>
    <xf numFmtId="167" fontId="8" fillId="5" borderId="59" xfId="0" applyNumberFormat="1" applyFont="1" applyFill="1" applyBorder="1" applyAlignment="1" applyProtection="1">
      <alignment horizontal="center"/>
    </xf>
    <xf numFmtId="167" fontId="8" fillId="5" borderId="42" xfId="0" applyNumberFormat="1" applyFont="1" applyFill="1" applyBorder="1" applyAlignment="1" applyProtection="1">
      <alignment horizontal="center"/>
    </xf>
    <xf numFmtId="167" fontId="8" fillId="5" borderId="41" xfId="0" applyNumberFormat="1" applyFont="1" applyFill="1" applyBorder="1" applyAlignment="1" applyProtection="1">
      <alignment horizontal="center"/>
    </xf>
    <xf numFmtId="10" fontId="7" fillId="10" borderId="3" xfId="4" applyNumberFormat="1" applyFont="1" applyFill="1" applyBorder="1" applyProtection="1"/>
    <xf numFmtId="167" fontId="1" fillId="3" borderId="30" xfId="0" applyNumberFormat="1" applyFont="1" applyFill="1" applyBorder="1" applyAlignment="1" applyProtection="1">
      <alignment horizontal="right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/>
      <protection locked="0"/>
    </xf>
    <xf numFmtId="167" fontId="1" fillId="5" borderId="56" xfId="0" applyNumberFormat="1" applyFont="1" applyFill="1" applyBorder="1" applyProtection="1"/>
    <xf numFmtId="167" fontId="0" fillId="5" borderId="55" xfId="0" applyNumberFormat="1" applyFont="1" applyFill="1" applyBorder="1" applyProtection="1">
      <protection locked="0"/>
    </xf>
    <xf numFmtId="165" fontId="1" fillId="5" borderId="34" xfId="0" applyNumberFormat="1" applyFont="1" applyFill="1" applyBorder="1" applyProtection="1"/>
    <xf numFmtId="167" fontId="0" fillId="0" borderId="57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7" fontId="0" fillId="0" borderId="54" xfId="0" applyNumberFormat="1" applyFon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7" fontId="0" fillId="0" borderId="54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7" fontId="0" fillId="0" borderId="5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" xfId="0" applyNumberFormat="1" applyFont="1" applyBorder="1" applyProtection="1">
      <protection locked="0"/>
    </xf>
    <xf numFmtId="167" fontId="1" fillId="3" borderId="29" xfId="0" applyNumberFormat="1" applyFont="1" applyFill="1" applyBorder="1" applyAlignment="1" applyProtection="1">
      <alignment horizontal="right"/>
    </xf>
    <xf numFmtId="167" fontId="1" fillId="3" borderId="26" xfId="0" applyNumberFormat="1" applyFont="1" applyFill="1" applyBorder="1" applyAlignment="1" applyProtection="1">
      <alignment horizontal="right"/>
    </xf>
    <xf numFmtId="167" fontId="1" fillId="3" borderId="25" xfId="0" applyNumberFormat="1" applyFont="1" applyFill="1" applyBorder="1" applyAlignment="1" applyProtection="1">
      <alignment horizontal="right"/>
    </xf>
    <xf numFmtId="167" fontId="0" fillId="0" borderId="16" xfId="0" applyNumberFormat="1" applyFont="1" applyBorder="1" applyAlignment="1" applyProtection="1">
      <alignment horizontal="right"/>
      <protection locked="0"/>
    </xf>
    <xf numFmtId="167" fontId="0" fillId="0" borderId="12" xfId="0" applyNumberFormat="1" applyFont="1" applyFill="1" applyBorder="1" applyAlignment="1" applyProtection="1">
      <alignment horizontal="right"/>
      <protection locked="0"/>
    </xf>
    <xf numFmtId="167" fontId="0" fillId="0" borderId="44" xfId="0" applyNumberFormat="1" applyFont="1" applyBorder="1" applyAlignment="1" applyProtection="1">
      <alignment horizontal="right"/>
      <protection locked="0"/>
    </xf>
    <xf numFmtId="167" fontId="0" fillId="11" borderId="44" xfId="0" applyNumberFormat="1" applyFont="1" applyFill="1" applyBorder="1" applyAlignment="1" applyProtection="1">
      <alignment horizontal="right"/>
    </xf>
    <xf numFmtId="167" fontId="0" fillId="11" borderId="11" xfId="0" applyNumberFormat="1" applyFont="1" applyFill="1" applyBorder="1" applyAlignment="1" applyProtection="1">
      <alignment horizontal="right"/>
    </xf>
    <xf numFmtId="167" fontId="0" fillId="0" borderId="15" xfId="0" applyNumberFormat="1" applyFont="1" applyBorder="1" applyAlignment="1" applyProtection="1">
      <alignment horizontal="right"/>
      <protection locked="0"/>
    </xf>
    <xf numFmtId="167" fontId="0" fillId="0" borderId="43" xfId="0" applyNumberFormat="1" applyFont="1" applyFill="1" applyBorder="1" applyAlignment="1" applyProtection="1">
      <alignment horizontal="right"/>
      <protection locked="0"/>
    </xf>
    <xf numFmtId="167" fontId="0" fillId="0" borderId="1" xfId="0" applyNumberFormat="1" applyFont="1" applyBorder="1" applyAlignment="1" applyProtection="1">
      <alignment horizontal="right"/>
      <protection locked="0"/>
    </xf>
    <xf numFmtId="167" fontId="0" fillId="11" borderId="1" xfId="0" applyNumberFormat="1" applyFont="1" applyFill="1" applyBorder="1" applyAlignment="1" applyProtection="1">
      <alignment horizontal="right"/>
    </xf>
    <xf numFmtId="167" fontId="0" fillId="11" borderId="49" xfId="0" applyNumberFormat="1" applyFont="1" applyFill="1" applyBorder="1" applyAlignment="1" applyProtection="1">
      <alignment horizontal="right"/>
    </xf>
    <xf numFmtId="167" fontId="0" fillId="0" borderId="23" xfId="0" applyNumberFormat="1" applyFont="1" applyBorder="1" applyAlignment="1" applyProtection="1">
      <alignment horizontal="right"/>
      <protection locked="0"/>
    </xf>
    <xf numFmtId="167" fontId="6" fillId="11" borderId="1" xfId="0" applyNumberFormat="1" applyFont="1" applyFill="1" applyBorder="1" applyAlignment="1" applyProtection="1">
      <alignment horizontal="right"/>
    </xf>
    <xf numFmtId="167" fontId="6" fillId="11" borderId="49" xfId="0" applyNumberFormat="1" applyFont="1" applyFill="1" applyBorder="1" applyAlignment="1" applyProtection="1">
      <alignment horizontal="right"/>
    </xf>
    <xf numFmtId="167" fontId="0" fillId="0" borderId="23" xfId="0" applyNumberFormat="1" applyFont="1" applyFill="1" applyBorder="1" applyAlignment="1" applyProtection="1">
      <alignment horizontal="right"/>
      <protection locked="0"/>
    </xf>
    <xf numFmtId="167" fontId="6" fillId="0" borderId="1" xfId="0" applyNumberFormat="1" applyFont="1" applyFill="1" applyBorder="1" applyAlignment="1" applyProtection="1">
      <alignment horizontal="right"/>
      <protection locked="0"/>
    </xf>
    <xf numFmtId="167" fontId="0" fillId="2" borderId="15" xfId="0" applyNumberFormat="1" applyFont="1" applyFill="1" applyBorder="1" applyAlignment="1" applyProtection="1">
      <alignment horizontal="right"/>
      <protection locked="0"/>
    </xf>
    <xf numFmtId="167" fontId="0" fillId="2" borderId="23" xfId="0" applyNumberFormat="1" applyFont="1" applyFill="1" applyBorder="1" applyAlignment="1" applyProtection="1">
      <alignment horizontal="right"/>
      <protection locked="0"/>
    </xf>
    <xf numFmtId="167" fontId="0" fillId="10" borderId="49" xfId="0" applyNumberFormat="1" applyFont="1" applyFill="1" applyBorder="1" applyAlignment="1" applyProtection="1">
      <alignment horizontal="right"/>
      <protection locked="0"/>
    </xf>
    <xf numFmtId="167" fontId="0" fillId="0" borderId="8" xfId="0" applyNumberFormat="1" applyFont="1" applyFill="1" applyBorder="1" applyAlignment="1" applyProtection="1">
      <alignment horizontal="right"/>
      <protection locked="0"/>
    </xf>
    <xf numFmtId="167" fontId="0" fillId="0" borderId="9" xfId="0" applyNumberFormat="1" applyFont="1" applyFill="1" applyBorder="1" applyAlignment="1" applyProtection="1">
      <alignment horizontal="right"/>
      <protection locked="0"/>
    </xf>
    <xf numFmtId="167" fontId="0" fillId="11" borderId="9" xfId="0" applyNumberFormat="1" applyFont="1" applyFill="1" applyBorder="1" applyAlignment="1" applyProtection="1">
      <alignment horizontal="right"/>
    </xf>
    <xf numFmtId="167" fontId="0" fillId="11" borderId="51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 applyAlignment="1" applyProtection="1">
      <alignment horizontal="left"/>
      <protection locked="0"/>
    </xf>
    <xf numFmtId="0" fontId="21" fillId="0" borderId="22" xfId="0" applyFont="1" applyFill="1" applyBorder="1"/>
    <xf numFmtId="164" fontId="0" fillId="8" borderId="0" xfId="0" applyNumberFormat="1" applyFill="1"/>
    <xf numFmtId="0" fontId="1" fillId="13" borderId="0" xfId="0" applyFont="1" applyFill="1" applyAlignment="1" applyProtection="1">
      <alignment horizontal="left"/>
      <protection locked="0"/>
    </xf>
    <xf numFmtId="0" fontId="11" fillId="13" borderId="0" xfId="2" applyFont="1" applyFill="1"/>
    <xf numFmtId="0" fontId="11" fillId="13" borderId="0" xfId="0" applyFont="1" applyFill="1"/>
    <xf numFmtId="0" fontId="11" fillId="13" borderId="22" xfId="2" applyFont="1" applyFill="1" applyBorder="1"/>
    <xf numFmtId="0" fontId="8" fillId="0" borderId="0" xfId="0" applyFont="1" applyAlignment="1" applyProtection="1">
      <alignment horizontal="left"/>
      <protection locked="0"/>
    </xf>
    <xf numFmtId="0" fontId="16" fillId="0" borderId="0" xfId="0" applyFont="1"/>
    <xf numFmtId="10" fontId="16" fillId="0" borderId="0" xfId="0" applyNumberFormat="1" applyFont="1"/>
    <xf numFmtId="0" fontId="16" fillId="0" borderId="22" xfId="0" applyFont="1" applyBorder="1"/>
    <xf numFmtId="0" fontId="8" fillId="13" borderId="0" xfId="0" applyFont="1" applyFill="1" applyAlignment="1" applyProtection="1">
      <alignment horizontal="left"/>
      <protection locked="0"/>
    </xf>
    <xf numFmtId="0" fontId="8" fillId="13" borderId="22" xfId="0" applyFont="1" applyFill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22" xfId="0" applyFont="1" applyBorder="1" applyAlignment="1" applyProtection="1">
      <alignment horizontal="left"/>
      <protection locked="0"/>
    </xf>
    <xf numFmtId="0" fontId="23" fillId="0" borderId="22" xfId="0" applyFont="1" applyBorder="1" applyAlignment="1" applyProtection="1">
      <alignment horizontal="left"/>
      <protection locked="0"/>
    </xf>
    <xf numFmtId="0" fontId="23" fillId="13" borderId="0" xfId="0" applyFont="1" applyFill="1" applyAlignment="1" applyProtection="1">
      <alignment horizontal="left"/>
      <protection locked="0"/>
    </xf>
    <xf numFmtId="0" fontId="23" fillId="13" borderId="22" xfId="0" applyFont="1" applyFill="1" applyBorder="1" applyAlignment="1" applyProtection="1">
      <alignment horizontal="left"/>
      <protection locked="0"/>
    </xf>
    <xf numFmtId="0" fontId="24" fillId="13" borderId="0" xfId="0" applyFont="1" applyFill="1" applyAlignment="1" applyProtection="1">
      <alignment horizontal="left"/>
      <protection locked="0"/>
    </xf>
    <xf numFmtId="0" fontId="24" fillId="13" borderId="22" xfId="0" applyFont="1" applyFill="1" applyBorder="1" applyAlignment="1" applyProtection="1">
      <alignment horizontal="left"/>
      <protection locked="0"/>
    </xf>
    <xf numFmtId="0" fontId="25" fillId="0" borderId="0" xfId="0" applyFont="1"/>
    <xf numFmtId="0" fontId="26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3" fillId="0" borderId="22" xfId="0" applyFont="1" applyBorder="1" applyProtection="1">
      <protection locked="0"/>
    </xf>
    <xf numFmtId="0" fontId="27" fillId="0" borderId="0" xfId="0" applyFont="1" applyProtection="1">
      <protection locked="0"/>
    </xf>
    <xf numFmtId="0" fontId="27" fillId="0" borderId="22" xfId="0" applyFont="1" applyBorder="1" applyProtection="1">
      <protection locked="0"/>
    </xf>
    <xf numFmtId="0" fontId="28" fillId="0" borderId="0" xfId="0" applyFont="1"/>
    <xf numFmtId="10" fontId="28" fillId="0" borderId="0" xfId="0" applyNumberFormat="1" applyFont="1"/>
    <xf numFmtId="0" fontId="28" fillId="0" borderId="22" xfId="0" applyFont="1" applyBorder="1"/>
    <xf numFmtId="0" fontId="24" fillId="0" borderId="0" xfId="0" applyFont="1"/>
    <xf numFmtId="0" fontId="23" fillId="0" borderId="22" xfId="0" applyFont="1" applyBorder="1"/>
    <xf numFmtId="0" fontId="25" fillId="0" borderId="39" xfId="0" applyFont="1" applyBorder="1"/>
    <xf numFmtId="164" fontId="23" fillId="0" borderId="39" xfId="0" applyNumberFormat="1" applyFont="1" applyBorder="1" applyProtection="1">
      <protection locked="0"/>
    </xf>
    <xf numFmtId="0" fontId="23" fillId="12" borderId="39" xfId="0" applyFont="1" applyFill="1" applyBorder="1" applyAlignment="1">
      <alignment horizontal="left"/>
    </xf>
    <xf numFmtId="0" fontId="23" fillId="12" borderId="12" xfId="0" applyFont="1" applyFill="1" applyBorder="1" applyAlignment="1">
      <alignment horizontal="left"/>
    </xf>
    <xf numFmtId="164" fontId="29" fillId="8" borderId="0" xfId="0" applyNumberFormat="1" applyFont="1" applyFill="1" applyAlignment="1">
      <alignment horizontal="right"/>
    </xf>
    <xf numFmtId="164" fontId="8" fillId="8" borderId="0" xfId="0" applyNumberFormat="1" applyFont="1" applyFill="1"/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8" fillId="12" borderId="1" xfId="0" applyFont="1" applyFill="1" applyBorder="1"/>
    <xf numFmtId="164" fontId="8" fillId="13" borderId="1" xfId="0" applyNumberFormat="1" applyFont="1" applyFill="1" applyBorder="1" applyAlignment="1" applyProtection="1">
      <alignment horizontal="right"/>
      <protection locked="0"/>
    </xf>
    <xf numFmtId="0" fontId="8" fillId="13" borderId="1" xfId="0" applyFont="1" applyFill="1" applyBorder="1"/>
    <xf numFmtId="164" fontId="8" fillId="0" borderId="48" xfId="0" applyNumberFormat="1" applyFont="1" applyBorder="1" applyProtection="1">
      <protection locked="0"/>
    </xf>
    <xf numFmtId="164" fontId="8" fillId="0" borderId="31" xfId="0" applyNumberFormat="1" applyFont="1" applyBorder="1" applyProtection="1">
      <protection locked="0"/>
    </xf>
    <xf numFmtId="43" fontId="7" fillId="8" borderId="0" xfId="3" applyFont="1" applyFill="1"/>
    <xf numFmtId="164" fontId="8" fillId="8" borderId="0" xfId="0" applyNumberFormat="1" applyFont="1" applyFill="1" applyAlignment="1" applyProtection="1">
      <alignment horizontal="right"/>
      <protection locked="0"/>
    </xf>
    <xf numFmtId="0" fontId="8" fillId="12" borderId="21" xfId="0" applyFont="1" applyFill="1" applyBorder="1" applyAlignment="1">
      <alignment horizontal="left" vertical="center"/>
    </xf>
    <xf numFmtId="164" fontId="30" fillId="14" borderId="19" xfId="0" applyNumberFormat="1" applyFont="1" applyFill="1" applyBorder="1" applyAlignment="1">
      <alignment horizontal="center" wrapText="1"/>
    </xf>
    <xf numFmtId="164" fontId="30" fillId="14" borderId="34" xfId="0" applyNumberFormat="1" applyFont="1" applyFill="1" applyBorder="1" applyAlignment="1" applyProtection="1">
      <alignment horizontal="center" wrapText="1"/>
      <protection locked="0"/>
    </xf>
    <xf numFmtId="164" fontId="30" fillId="8" borderId="0" xfId="0" applyNumberFormat="1" applyFont="1" applyFill="1" applyAlignment="1">
      <alignment horizontal="center" vertical="center" wrapText="1"/>
    </xf>
    <xf numFmtId="0" fontId="8" fillId="12" borderId="58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/>
    </xf>
    <xf numFmtId="164" fontId="8" fillId="8" borderId="0" xfId="0" applyNumberFormat="1" applyFont="1" applyFill="1" applyProtection="1">
      <protection locked="0"/>
    </xf>
    <xf numFmtId="164" fontId="8" fillId="0" borderId="20" xfId="0" applyNumberFormat="1" applyFont="1" applyBorder="1" applyProtection="1">
      <protection locked="0"/>
    </xf>
    <xf numFmtId="164" fontId="8" fillId="0" borderId="32" xfId="0" applyNumberFormat="1" applyFont="1" applyBorder="1" applyProtection="1">
      <protection locked="0"/>
    </xf>
    <xf numFmtId="164" fontId="8" fillId="13" borderId="31" xfId="0" applyNumberFormat="1" applyFont="1" applyFill="1" applyBorder="1" applyProtection="1">
      <protection locked="0"/>
    </xf>
    <xf numFmtId="0" fontId="8" fillId="12" borderId="47" xfId="0" applyFont="1" applyFill="1" applyBorder="1" applyAlignment="1">
      <alignment horizontal="left" vertical="center"/>
    </xf>
    <xf numFmtId="164" fontId="8" fillId="14" borderId="19" xfId="0" applyNumberFormat="1" applyFont="1" applyFill="1" applyBorder="1"/>
    <xf numFmtId="164" fontId="8" fillId="14" borderId="18" xfId="0" applyNumberFormat="1" applyFont="1" applyFill="1" applyBorder="1"/>
    <xf numFmtId="164" fontId="8" fillId="14" borderId="34" xfId="0" applyNumberFormat="1" applyFont="1" applyFill="1" applyBorder="1" applyProtection="1">
      <protection locked="0"/>
    </xf>
    <xf numFmtId="164" fontId="8" fillId="8" borderId="0" xfId="0" applyNumberFormat="1" applyFont="1" applyFill="1" applyAlignment="1">
      <alignment horizontal="center"/>
    </xf>
    <xf numFmtId="165" fontId="31" fillId="7" borderId="3" xfId="0" applyNumberFormat="1" applyFont="1" applyFill="1" applyBorder="1"/>
    <xf numFmtId="164" fontId="29" fillId="14" borderId="19" xfId="0" applyNumberFormat="1" applyFont="1" applyFill="1" applyBorder="1"/>
    <xf numFmtId="0" fontId="31" fillId="14" borderId="18" xfId="0" applyFont="1" applyFill="1" applyBorder="1"/>
    <xf numFmtId="164" fontId="29" fillId="14" borderId="18" xfId="0" applyNumberFormat="1" applyFont="1" applyFill="1" applyBorder="1"/>
    <xf numFmtId="164" fontId="29" fillId="14" borderId="34" xfId="0" applyNumberFormat="1" applyFont="1" applyFill="1" applyBorder="1" applyAlignment="1">
      <alignment horizontal="center"/>
    </xf>
    <xf numFmtId="164" fontId="29" fillId="14" borderId="35" xfId="0" applyNumberFormat="1" applyFont="1" applyFill="1" applyBorder="1"/>
    <xf numFmtId="0" fontId="31" fillId="14" borderId="42" xfId="0" applyFont="1" applyFill="1" applyBorder="1"/>
    <xf numFmtId="0" fontId="31" fillId="14" borderId="35" xfId="0" applyFont="1" applyFill="1" applyBorder="1"/>
    <xf numFmtId="0" fontId="31" fillId="0" borderId="41" xfId="0" applyFont="1" applyBorder="1"/>
    <xf numFmtId="0" fontId="31" fillId="0" borderId="41" xfId="0" applyFont="1" applyBorder="1" applyAlignment="1">
      <alignment horizontal="center"/>
    </xf>
    <xf numFmtId="165" fontId="23" fillId="9" borderId="30" xfId="0" applyNumberFormat="1" applyFont="1" applyFill="1" applyBorder="1"/>
    <xf numFmtId="165" fontId="23" fillId="9" borderId="38" xfId="0" applyNumberFormat="1" applyFont="1" applyFill="1" applyBorder="1"/>
    <xf numFmtId="165" fontId="23" fillId="6" borderId="38" xfId="0" applyNumberFormat="1" applyFont="1" applyFill="1" applyBorder="1"/>
    <xf numFmtId="165" fontId="23" fillId="9" borderId="39" xfId="0" applyNumberFormat="1" applyFont="1" applyFill="1" applyBorder="1"/>
    <xf numFmtId="0" fontId="23" fillId="6" borderId="38" xfId="0" applyFont="1" applyFill="1" applyBorder="1" applyAlignment="1">
      <alignment horizontal="left"/>
    </xf>
    <xf numFmtId="0" fontId="23" fillId="0" borderId="38" xfId="0" applyFont="1" applyBorder="1" applyAlignment="1">
      <alignment horizontal="center"/>
    </xf>
    <xf numFmtId="164" fontId="8" fillId="5" borderId="3" xfId="0" applyNumberFormat="1" applyFont="1" applyFill="1" applyBorder="1"/>
    <xf numFmtId="164" fontId="8" fillId="5" borderId="56" xfId="0" applyNumberFormat="1" applyFont="1" applyFill="1" applyBorder="1"/>
    <xf numFmtId="164" fontId="7" fillId="5" borderId="55" xfId="0" applyNumberFormat="1" applyFont="1" applyFill="1" applyBorder="1" applyProtection="1">
      <protection locked="0"/>
    </xf>
    <xf numFmtId="164" fontId="8" fillId="5" borderId="34" xfId="0" applyNumberFormat="1" applyFont="1" applyFill="1" applyBorder="1"/>
    <xf numFmtId="164" fontId="7" fillId="5" borderId="53" xfId="0" applyNumberFormat="1" applyFont="1" applyFill="1" applyBorder="1" applyProtection="1">
      <protection locked="0"/>
    </xf>
    <xf numFmtId="164" fontId="7" fillId="5" borderId="59" xfId="0" applyNumberFormat="1" applyFont="1" applyFill="1" applyBorder="1" applyProtection="1">
      <protection locked="0"/>
    </xf>
    <xf numFmtId="164" fontId="7" fillId="5" borderId="62" xfId="0" applyNumberFormat="1" applyFont="1" applyFill="1" applyBorder="1" applyProtection="1">
      <protection locked="0"/>
    </xf>
    <xf numFmtId="2" fontId="8" fillId="5" borderId="34" xfId="0" applyNumberFormat="1" applyFont="1" applyFill="1" applyBorder="1"/>
    <xf numFmtId="0" fontId="8" fillId="5" borderId="41" xfId="0" applyFont="1" applyFill="1" applyBorder="1"/>
    <xf numFmtId="0" fontId="8" fillId="0" borderId="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right"/>
    </xf>
    <xf numFmtId="164" fontId="7" fillId="0" borderId="57" xfId="0" applyNumberFormat="1" applyFont="1" applyBorder="1" applyProtection="1">
      <protection locked="0"/>
    </xf>
    <xf numFmtId="164" fontId="7" fillId="0" borderId="40" xfId="0" applyNumberFormat="1" applyFont="1" applyBorder="1" applyProtection="1">
      <protection locked="0"/>
    </xf>
    <xf numFmtId="164" fontId="7" fillId="16" borderId="11" xfId="0" applyNumberFormat="1" applyFont="1" applyFill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7" fillId="13" borderId="57" xfId="0" applyNumberFormat="1" applyFont="1" applyFill="1" applyBorder="1" applyProtection="1">
      <protection locked="0"/>
    </xf>
    <xf numFmtId="164" fontId="7" fillId="13" borderId="39" xfId="0" applyNumberFormat="1" applyFont="1" applyFill="1" applyBorder="1" applyProtection="1">
      <protection locked="0"/>
    </xf>
    <xf numFmtId="164" fontId="7" fillId="0" borderId="61" xfId="0" applyNumberFormat="1" applyFont="1" applyBorder="1" applyProtection="1">
      <protection locked="0"/>
    </xf>
    <xf numFmtId="2" fontId="7" fillId="0" borderId="40" xfId="0" applyNumberFormat="1" applyFont="1" applyBorder="1" applyProtection="1">
      <protection locked="0"/>
    </xf>
    <xf numFmtId="0" fontId="7" fillId="0" borderId="46" xfId="0" applyFont="1" applyBorder="1"/>
    <xf numFmtId="0" fontId="7" fillId="0" borderId="11" xfId="0" applyFont="1" applyBorder="1" applyAlignment="1">
      <alignment horizontal="center"/>
    </xf>
    <xf numFmtId="164" fontId="7" fillId="0" borderId="23" xfId="0" applyNumberFormat="1" applyFont="1" applyBorder="1" applyAlignment="1">
      <alignment horizontal="right"/>
    </xf>
    <xf numFmtId="164" fontId="7" fillId="0" borderId="54" xfId="0" applyNumberFormat="1" applyFont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164" fontId="7" fillId="13" borderId="49" xfId="0" applyNumberFormat="1" applyFont="1" applyFill="1" applyBorder="1" applyProtection="1">
      <protection locked="0"/>
    </xf>
    <xf numFmtId="164" fontId="7" fillId="0" borderId="49" xfId="0" applyNumberFormat="1" applyFont="1" applyBorder="1" applyProtection="1">
      <protection locked="0"/>
    </xf>
    <xf numFmtId="164" fontId="7" fillId="13" borderId="54" xfId="0" applyNumberFormat="1" applyFont="1" applyFill="1" applyBorder="1" applyProtection="1">
      <protection locked="0"/>
    </xf>
    <xf numFmtId="164" fontId="7" fillId="13" borderId="61" xfId="0" applyNumberFormat="1" applyFont="1" applyFill="1" applyBorder="1" applyProtection="1">
      <protection locked="0"/>
    </xf>
    <xf numFmtId="2" fontId="7" fillId="0" borderId="2" xfId="0" applyNumberFormat="1" applyFont="1" applyBorder="1" applyProtection="1">
      <protection locked="0"/>
    </xf>
    <xf numFmtId="0" fontId="7" fillId="0" borderId="49" xfId="0" applyFont="1" applyBorder="1" applyAlignment="1">
      <alignment horizontal="center"/>
    </xf>
    <xf numFmtId="164" fontId="7" fillId="16" borderId="49" xfId="0" applyNumberFormat="1" applyFont="1" applyFill="1" applyBorder="1" applyProtection="1">
      <protection locked="0"/>
    </xf>
    <xf numFmtId="0" fontId="7" fillId="0" borderId="49" xfId="0" applyFont="1" applyBorder="1" applyProtection="1">
      <protection locked="0"/>
    </xf>
    <xf numFmtId="0" fontId="7" fillId="0" borderId="2" xfId="0" applyFont="1" applyBorder="1" applyProtection="1">
      <protection locked="0"/>
    </xf>
    <xf numFmtId="164" fontId="7" fillId="17" borderId="49" xfId="0" applyNumberFormat="1" applyFont="1" applyFill="1" applyBorder="1" applyProtection="1">
      <protection locked="0"/>
    </xf>
    <xf numFmtId="164" fontId="7" fillId="16" borderId="4" xfId="0" applyNumberFormat="1" applyFont="1" applyFill="1" applyBorder="1" applyProtection="1">
      <protection locked="0"/>
    </xf>
    <xf numFmtId="164" fontId="7" fillId="0" borderId="13" xfId="0" applyNumberFormat="1" applyFont="1" applyBorder="1" applyAlignment="1">
      <alignment horizontal="right"/>
    </xf>
    <xf numFmtId="164" fontId="7" fillId="0" borderId="55" xfId="0" applyNumberFormat="1" applyFont="1" applyBorder="1" applyProtection="1">
      <protection locked="0"/>
    </xf>
    <xf numFmtId="164" fontId="7" fillId="0" borderId="7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13" borderId="55" xfId="0" applyNumberFormat="1" applyFont="1" applyFill="1" applyBorder="1" applyProtection="1">
      <protection locked="0"/>
    </xf>
    <xf numFmtId="164" fontId="7" fillId="13" borderId="62" xfId="0" applyNumberFormat="1" applyFont="1" applyFill="1" applyBorder="1" applyProtection="1">
      <protection locked="0"/>
    </xf>
    <xf numFmtId="164" fontId="7" fillId="0" borderId="62" xfId="0" applyNumberFormat="1" applyFont="1" applyBorder="1" applyProtection="1">
      <protection locked="0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10" fontId="8" fillId="0" borderId="21" xfId="0" applyNumberFormat="1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164" fontId="7" fillId="0" borderId="48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13" borderId="59" xfId="0" applyFont="1" applyFill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wrapText="1"/>
    </xf>
    <xf numFmtId="10" fontId="8" fillId="0" borderId="30" xfId="0" applyNumberFormat="1" applyFont="1" applyBorder="1" applyAlignment="1">
      <alignment horizontal="center" vertical="center" wrapText="1"/>
    </xf>
    <xf numFmtId="0" fontId="8" fillId="14" borderId="59" xfId="0" applyFont="1" applyFill="1" applyBorder="1"/>
    <xf numFmtId="0" fontId="7" fillId="14" borderId="58" xfId="0" applyFont="1" applyFill="1" applyBorder="1" applyAlignment="1">
      <alignment horizontal="center"/>
    </xf>
    <xf numFmtId="164" fontId="8" fillId="3" borderId="30" xfId="0" applyNumberFormat="1" applyFont="1" applyFill="1" applyBorder="1" applyAlignment="1">
      <alignment horizontal="right"/>
    </xf>
    <xf numFmtId="164" fontId="8" fillId="3" borderId="29" xfId="0" applyNumberFormat="1" applyFont="1" applyFill="1" applyBorder="1" applyAlignment="1">
      <alignment horizontal="right"/>
    </xf>
    <xf numFmtId="164" fontId="8" fillId="3" borderId="26" xfId="0" applyNumberFormat="1" applyFont="1" applyFill="1" applyBorder="1" applyAlignment="1">
      <alignment horizontal="right"/>
    </xf>
    <xf numFmtId="164" fontId="8" fillId="3" borderId="25" xfId="0" applyNumberFormat="1" applyFont="1" applyFill="1" applyBorder="1" applyAlignment="1">
      <alignment horizontal="right"/>
    </xf>
    <xf numFmtId="164" fontId="8" fillId="3" borderId="56" xfId="0" applyNumberFormat="1" applyFont="1" applyFill="1" applyBorder="1" applyAlignment="1">
      <alignment horizontal="right"/>
    </xf>
    <xf numFmtId="164" fontId="8" fillId="3" borderId="42" xfId="0" applyNumberFormat="1" applyFont="1" applyFill="1" applyBorder="1" applyAlignment="1">
      <alignment horizontal="right"/>
    </xf>
    <xf numFmtId="0" fontId="8" fillId="3" borderId="59" xfId="0" applyFont="1" applyFill="1" applyBorder="1"/>
    <xf numFmtId="164" fontId="7" fillId="0" borderId="16" xfId="0" applyNumberFormat="1" applyFont="1" applyBorder="1" applyAlignment="1" applyProtection="1">
      <alignment horizontal="right"/>
      <protection locked="0"/>
    </xf>
    <xf numFmtId="164" fontId="7" fillId="0" borderId="12" xfId="0" applyNumberFormat="1" applyFont="1" applyBorder="1" applyAlignment="1" applyProtection="1">
      <alignment horizontal="right"/>
      <protection locked="0"/>
    </xf>
    <xf numFmtId="164" fontId="7" fillId="0" borderId="44" xfId="0" applyNumberFormat="1" applyFont="1" applyBorder="1" applyAlignment="1" applyProtection="1">
      <alignment horizontal="right"/>
      <protection locked="0"/>
    </xf>
    <xf numFmtId="164" fontId="7" fillId="11" borderId="44" xfId="0" applyNumberFormat="1" applyFont="1" applyFill="1" applyBorder="1" applyAlignment="1">
      <alignment horizontal="right"/>
    </xf>
    <xf numFmtId="164" fontId="7" fillId="11" borderId="11" xfId="0" applyNumberFormat="1" applyFont="1" applyFill="1" applyBorder="1" applyAlignment="1">
      <alignment horizontal="right"/>
    </xf>
    <xf numFmtId="164" fontId="7" fillId="13" borderId="60" xfId="0" applyNumberFormat="1" applyFont="1" applyFill="1" applyBorder="1" applyAlignment="1" applyProtection="1">
      <alignment horizontal="right"/>
      <protection locked="0"/>
    </xf>
    <xf numFmtId="164" fontId="7" fillId="13" borderId="39" xfId="0" applyNumberFormat="1" applyFont="1" applyFill="1" applyBorder="1" applyAlignment="1" applyProtection="1">
      <alignment horizontal="right"/>
      <protection locked="0"/>
    </xf>
    <xf numFmtId="164" fontId="7" fillId="0" borderId="43" xfId="0" applyNumberFormat="1" applyFont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left" indent="5"/>
    </xf>
    <xf numFmtId="0" fontId="7" fillId="0" borderId="45" xfId="0" applyFont="1" applyBorder="1" applyAlignment="1">
      <alignment horizontal="center"/>
    </xf>
    <xf numFmtId="164" fontId="7" fillId="0" borderId="15" xfId="0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7" fillId="11" borderId="1" xfId="0" applyNumberFormat="1" applyFont="1" applyFill="1" applyBorder="1" applyAlignment="1">
      <alignment horizontal="right"/>
    </xf>
    <xf numFmtId="164" fontId="7" fillId="11" borderId="49" xfId="0" applyNumberFormat="1" applyFont="1" applyFill="1" applyBorder="1" applyAlignment="1">
      <alignment horizontal="right"/>
    </xf>
    <xf numFmtId="164" fontId="7" fillId="13" borderId="61" xfId="0" applyNumberFormat="1" applyFont="1" applyFill="1" applyBorder="1" applyAlignment="1" applyProtection="1">
      <alignment horizontal="right"/>
      <protection locked="0"/>
    </xf>
    <xf numFmtId="164" fontId="7" fillId="0" borderId="23" xfId="0" applyNumberFormat="1" applyFont="1" applyBorder="1" applyAlignment="1" applyProtection="1">
      <alignment horizontal="right"/>
      <protection locked="0"/>
    </xf>
    <xf numFmtId="164" fontId="7" fillId="13" borderId="1" xfId="0" applyNumberFormat="1" applyFont="1" applyFill="1" applyBorder="1" applyAlignment="1" applyProtection="1">
      <alignment horizontal="right"/>
      <protection locked="0"/>
    </xf>
    <xf numFmtId="164" fontId="7" fillId="13" borderId="52" xfId="0" applyNumberFormat="1" applyFont="1" applyFill="1" applyBorder="1" applyAlignment="1" applyProtection="1">
      <alignment horizontal="right"/>
      <protection locked="0"/>
    </xf>
    <xf numFmtId="164" fontId="7" fillId="2" borderId="15" xfId="0" applyNumberFormat="1" applyFont="1" applyFill="1" applyBorder="1" applyAlignment="1" applyProtection="1">
      <alignment horizontal="right"/>
      <protection locked="0"/>
    </xf>
    <xf numFmtId="164" fontId="7" fillId="16" borderId="49" xfId="0" applyNumberFormat="1" applyFont="1" applyFill="1" applyBorder="1" applyAlignment="1" applyProtection="1">
      <alignment horizontal="right"/>
      <protection locked="0"/>
    </xf>
    <xf numFmtId="164" fontId="7" fillId="5" borderId="49" xfId="0" applyNumberFormat="1" applyFont="1" applyFill="1" applyBorder="1" applyAlignment="1" applyProtection="1">
      <alignment horizontal="right"/>
      <protection locked="0"/>
    </xf>
    <xf numFmtId="164" fontId="7" fillId="0" borderId="8" xfId="0" applyNumberFormat="1" applyFont="1" applyBorder="1" applyAlignment="1" applyProtection="1">
      <alignment horizontal="right"/>
      <protection locked="0"/>
    </xf>
    <xf numFmtId="164" fontId="7" fillId="2" borderId="23" xfId="0" applyNumberFormat="1" applyFont="1" applyFill="1" applyBorder="1" applyAlignment="1" applyProtection="1">
      <alignment horizontal="right"/>
      <protection locked="0"/>
    </xf>
    <xf numFmtId="164" fontId="7" fillId="10" borderId="49" xfId="0" applyNumberFormat="1" applyFont="1" applyFill="1" applyBorder="1" applyAlignment="1" applyProtection="1">
      <alignment horizontal="right"/>
      <protection locked="0"/>
    </xf>
    <xf numFmtId="164" fontId="7" fillId="18" borderId="49" xfId="0" applyNumberFormat="1" applyFont="1" applyFill="1" applyBorder="1" applyAlignment="1" applyProtection="1">
      <alignment horizontal="right"/>
      <protection locked="0"/>
    </xf>
    <xf numFmtId="0" fontId="7" fillId="10" borderId="50" xfId="0" applyFont="1" applyFill="1" applyBorder="1"/>
    <xf numFmtId="164" fontId="7" fillId="0" borderId="9" xfId="0" applyNumberFormat="1" applyFont="1" applyBorder="1" applyAlignment="1" applyProtection="1">
      <alignment horizontal="right"/>
      <protection locked="0"/>
    </xf>
    <xf numFmtId="164" fontId="7" fillId="11" borderId="9" xfId="0" applyNumberFormat="1" applyFont="1" applyFill="1" applyBorder="1" applyAlignment="1">
      <alignment horizontal="right"/>
    </xf>
    <xf numFmtId="164" fontId="7" fillId="11" borderId="51" xfId="0" applyNumberFormat="1" applyFont="1" applyFill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8" fillId="14" borderId="19" xfId="0" applyFont="1" applyFill="1" applyBorder="1" applyAlignment="1">
      <alignment horizontal="center" vertical="center"/>
    </xf>
    <xf numFmtId="0" fontId="8" fillId="14" borderId="34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7" fillId="0" borderId="53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23" fillId="16" borderId="19" xfId="0" applyFont="1" applyFill="1" applyBorder="1" applyAlignment="1">
      <alignment horizontal="center" vertical="center"/>
    </xf>
    <xf numFmtId="0" fontId="23" fillId="16" borderId="18" xfId="0" applyFont="1" applyFill="1" applyBorder="1" applyAlignment="1">
      <alignment horizontal="center" vertical="center"/>
    </xf>
    <xf numFmtId="0" fontId="23" fillId="16" borderId="17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18" borderId="19" xfId="0" applyFont="1" applyFill="1" applyBorder="1" applyAlignment="1">
      <alignment horizontal="center" vertical="center"/>
    </xf>
    <xf numFmtId="0" fontId="23" fillId="18" borderId="18" xfId="0" applyFont="1" applyFill="1" applyBorder="1" applyAlignment="1">
      <alignment horizontal="center" vertical="center"/>
    </xf>
    <xf numFmtId="0" fontId="23" fillId="18" borderId="1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64" fontId="0" fillId="13" borderId="14" xfId="0" applyNumberFormat="1" applyFill="1" applyBorder="1" applyAlignment="1">
      <alignment horizontal="right"/>
    </xf>
    <xf numFmtId="164" fontId="0" fillId="13" borderId="57" xfId="0" applyNumberFormat="1" applyFill="1" applyBorder="1" applyProtection="1">
      <protection locked="0"/>
    </xf>
    <xf numFmtId="164" fontId="0" fillId="13" borderId="54" xfId="0" applyNumberFormat="1" applyFill="1" applyBorder="1" applyProtection="1">
      <protection locked="0"/>
    </xf>
    <xf numFmtId="164" fontId="0" fillId="13" borderId="40" xfId="0" applyNumberFormat="1" applyFill="1" applyBorder="1" applyProtection="1">
      <protection locked="0"/>
    </xf>
    <xf numFmtId="0" fontId="1" fillId="0" borderId="36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protection locked="0"/>
    </xf>
    <xf numFmtId="0" fontId="0" fillId="4" borderId="0" xfId="0" applyFill="1" applyProtection="1"/>
    <xf numFmtId="0" fontId="3" fillId="4" borderId="0" xfId="0" applyFont="1" applyFill="1" applyProtection="1"/>
    <xf numFmtId="164" fontId="12" fillId="0" borderId="1" xfId="0" applyNumberFormat="1" applyFont="1" applyBorder="1"/>
    <xf numFmtId="164" fontId="12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/>
    <xf numFmtId="168" fontId="0" fillId="0" borderId="49" xfId="0" applyNumberFormat="1" applyBorder="1" applyProtection="1">
      <protection locked="0"/>
    </xf>
    <xf numFmtId="0" fontId="1" fillId="0" borderId="0" xfId="0" applyFont="1" applyFill="1" applyBorder="1"/>
    <xf numFmtId="0" fontId="1" fillId="0" borderId="22" xfId="0" applyFont="1" applyFill="1" applyBorder="1"/>
    <xf numFmtId="167" fontId="0" fillId="8" borderId="0" xfId="0" applyNumberFormat="1" applyFill="1" applyBorder="1"/>
    <xf numFmtId="167" fontId="0" fillId="8" borderId="0" xfId="0" applyNumberFormat="1" applyFill="1"/>
    <xf numFmtId="4" fontId="0" fillId="0" borderId="0" xfId="0" applyNumberFormat="1" applyFill="1"/>
    <xf numFmtId="164" fontId="0" fillId="0" borderId="2" xfId="0" applyNumberFormat="1" applyFont="1" applyBorder="1" applyAlignment="1" applyProtection="1">
      <alignment horizontal="right"/>
      <protection locked="0"/>
    </xf>
    <xf numFmtId="14" fontId="1" fillId="8" borderId="0" xfId="0" applyNumberFormat="1" applyFont="1" applyFill="1" applyAlignment="1">
      <alignment horizontal="left"/>
    </xf>
    <xf numFmtId="168" fontId="0" fillId="0" borderId="2" xfId="0" applyNumberFormat="1" applyBorder="1" applyProtection="1">
      <protection locked="0"/>
    </xf>
  </cellXfs>
  <cellStyles count="5">
    <cellStyle name="Čárka" xfId="3" builtinId="3"/>
    <cellStyle name="Normální" xfId="0" builtinId="0"/>
    <cellStyle name="Normální 2" xfId="1"/>
    <cellStyle name="normální_Tabulka školy, návrh rozpočtu" xfId="2"/>
    <cellStyle name="Procenta" xfId="4" builtinId="5"/>
  </cellStyles>
  <dxfs count="82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g/Documents/TSMCH/Pl&#225;n%202024/TSmCh%20-%20NR%202024%20+%20SVR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ocuments/1_FIRMY/2_ZOO/2023/podklady%20pro%20dan&#283;/odeslat/St&#345;ediska_pro_dan&#283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50">
          <cell r="V50">
            <v>6727710.7999999998</v>
          </cell>
          <cell r="W50">
            <v>38196380.960000001</v>
          </cell>
          <cell r="X50">
            <v>40291757</v>
          </cell>
        </row>
        <row r="51">
          <cell r="V51">
            <v>4198936.8</v>
          </cell>
          <cell r="W51">
            <v>0</v>
          </cell>
          <cell r="X51">
            <v>0</v>
          </cell>
        </row>
        <row r="52">
          <cell r="V52">
            <v>2328774</v>
          </cell>
          <cell r="W52">
            <v>36774174</v>
          </cell>
          <cell r="X52">
            <v>38891757</v>
          </cell>
        </row>
        <row r="53">
          <cell r="V53">
            <v>0</v>
          </cell>
          <cell r="W53">
            <v>0</v>
          </cell>
          <cell r="X53">
            <v>0</v>
          </cell>
        </row>
        <row r="54">
          <cell r="V54">
            <v>200000</v>
          </cell>
          <cell r="W54">
            <v>1422206.96</v>
          </cell>
          <cell r="X54">
            <v>1400000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tečnost po stř (2)"/>
      <sheetName val="střediska"/>
      <sheetName val="HV celé"/>
      <sheetName val="2000"/>
      <sheetName val="2600"/>
      <sheetName val="2700"/>
      <sheetName val="4200"/>
      <sheetName val="5000"/>
      <sheetName val="6000"/>
      <sheetName val="7000"/>
      <sheetName val="0001"/>
      <sheetName val="skutečnost po stř"/>
    </sheetNames>
    <sheetDataSet>
      <sheetData sheetId="0"/>
      <sheetData sheetId="1">
        <row r="149">
          <cell r="F149">
            <v>15994264</v>
          </cell>
        </row>
        <row r="151">
          <cell r="F151">
            <v>3024053.65</v>
          </cell>
        </row>
        <row r="158">
          <cell r="F158">
            <v>10770014.91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D276"/>
  <sheetViews>
    <sheetView showGridLines="0" tabSelected="1" topLeftCell="A39" zoomScale="80" zoomScaleNormal="80" zoomScaleSheetLayoutView="80" workbookViewId="0">
      <selection activeCell="B61" sqref="B61:U6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6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164" t="s">
        <v>111</v>
      </c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100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160" t="s">
        <v>101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72" t="s">
        <v>102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112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3054.2</v>
      </c>
      <c r="G15" s="63">
        <f>SUM(D15:F15)</f>
        <v>3054.2</v>
      </c>
      <c r="H15" s="66">
        <v>0</v>
      </c>
      <c r="I15" s="14">
        <f>G15+H15</f>
        <v>3054.2</v>
      </c>
      <c r="J15" s="12"/>
      <c r="K15" s="13"/>
      <c r="L15" s="56">
        <v>3009</v>
      </c>
      <c r="M15" s="63">
        <f t="shared" ref="M15:M23" si="0">SUM(J15:L15)</f>
        <v>3009</v>
      </c>
      <c r="N15" s="66">
        <v>0</v>
      </c>
      <c r="O15" s="14">
        <f>M15+N15</f>
        <v>3009</v>
      </c>
      <c r="P15" s="12"/>
      <c r="Q15" s="13"/>
      <c r="R15" s="56">
        <v>1643</v>
      </c>
      <c r="S15" s="63">
        <f>SUM(P15:R15)</f>
        <v>1643</v>
      </c>
      <c r="T15" s="66">
        <v>0</v>
      </c>
      <c r="U15" s="14">
        <f>S15+T15</f>
        <v>1643</v>
      </c>
      <c r="V15" s="12"/>
      <c r="W15" s="13"/>
      <c r="X15" s="56">
        <v>3089</v>
      </c>
      <c r="Y15" s="63">
        <f>SUM(V15:X15)</f>
        <v>3089</v>
      </c>
      <c r="Z15" s="66">
        <v>0</v>
      </c>
      <c r="AA15" s="14">
        <f>Y15+Z15</f>
        <v>3089</v>
      </c>
      <c r="AB15" s="145">
        <f>(AA15/O15)</f>
        <v>1.0265869059488202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28618</v>
      </c>
      <c r="E16" s="16"/>
      <c r="F16" s="16"/>
      <c r="G16" s="64">
        <f t="shared" ref="G16:G23" si="1">SUM(D16:F16)</f>
        <v>28618</v>
      </c>
      <c r="H16" s="67"/>
      <c r="I16" s="14">
        <f t="shared" ref="I16:I23" si="2">G16+H16</f>
        <v>28618</v>
      </c>
      <c r="J16" s="57">
        <v>29553</v>
      </c>
      <c r="K16" s="16"/>
      <c r="L16" s="16"/>
      <c r="M16" s="64">
        <f t="shared" si="0"/>
        <v>29553</v>
      </c>
      <c r="N16" s="67"/>
      <c r="O16" s="14">
        <f t="shared" ref="O16:O20" si="3">M16+N16</f>
        <v>29553</v>
      </c>
      <c r="P16" s="57">
        <v>14776.5</v>
      </c>
      <c r="Q16" s="16"/>
      <c r="R16" s="16"/>
      <c r="S16" s="64">
        <f t="shared" ref="S16:S23" si="4">SUM(P16:R16)</f>
        <v>14776.5</v>
      </c>
      <c r="T16" s="67"/>
      <c r="U16" s="14">
        <f t="shared" ref="U16:U20" si="5">S16+T16</f>
        <v>14776.5</v>
      </c>
      <c r="V16" s="57">
        <v>28296</v>
      </c>
      <c r="W16" s="16"/>
      <c r="X16" s="16"/>
      <c r="Y16" s="64">
        <f t="shared" ref="Y16:Y23" si="6">SUM(V16:X16)</f>
        <v>28296</v>
      </c>
      <c r="Z16" s="67"/>
      <c r="AA16" s="14">
        <f t="shared" ref="AA16:AA20" si="7">Y16+Z16</f>
        <v>28296</v>
      </c>
      <c r="AB16" s="145">
        <f t="shared" ref="AB16:AB24" si="8">(AA16/O16)</f>
        <v>0.95746624708151462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5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1665.6</v>
      </c>
      <c r="F18" s="17"/>
      <c r="G18" s="64">
        <f t="shared" si="1"/>
        <v>1665.6</v>
      </c>
      <c r="H18" s="66"/>
      <c r="I18" s="14">
        <f t="shared" si="2"/>
        <v>1665.6</v>
      </c>
      <c r="J18" s="18"/>
      <c r="K18" s="59">
        <v>1497</v>
      </c>
      <c r="L18" s="17"/>
      <c r="M18" s="64">
        <f t="shared" si="0"/>
        <v>1497</v>
      </c>
      <c r="N18" s="66"/>
      <c r="O18" s="14">
        <f t="shared" si="3"/>
        <v>1497</v>
      </c>
      <c r="P18" s="18"/>
      <c r="Q18" s="59">
        <f>1997+7.6</f>
        <v>2004.6</v>
      </c>
      <c r="R18" s="17"/>
      <c r="S18" s="64">
        <f t="shared" si="4"/>
        <v>2004.6</v>
      </c>
      <c r="T18" s="66"/>
      <c r="U18" s="14">
        <f t="shared" si="5"/>
        <v>2004.6</v>
      </c>
      <c r="V18" s="18"/>
      <c r="W18" s="59">
        <v>1497</v>
      </c>
      <c r="X18" s="17"/>
      <c r="Y18" s="64">
        <f t="shared" si="6"/>
        <v>1497</v>
      </c>
      <c r="Z18" s="66"/>
      <c r="AA18" s="14">
        <f t="shared" si="7"/>
        <v>1497</v>
      </c>
      <c r="AB18" s="145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46</v>
      </c>
      <c r="E19" s="17"/>
      <c r="F19" s="60"/>
      <c r="G19" s="64">
        <f t="shared" si="1"/>
        <v>46</v>
      </c>
      <c r="H19" s="69"/>
      <c r="I19" s="14">
        <f t="shared" si="2"/>
        <v>46</v>
      </c>
      <c r="J19" s="19">
        <v>46</v>
      </c>
      <c r="K19" s="17"/>
      <c r="L19" s="60"/>
      <c r="M19" s="64">
        <f t="shared" si="0"/>
        <v>46</v>
      </c>
      <c r="N19" s="69"/>
      <c r="O19" s="14">
        <f t="shared" si="3"/>
        <v>46</v>
      </c>
      <c r="P19" s="19">
        <v>23</v>
      </c>
      <c r="Q19" s="17"/>
      <c r="R19" s="60"/>
      <c r="S19" s="64">
        <f t="shared" si="4"/>
        <v>23</v>
      </c>
      <c r="T19" s="69"/>
      <c r="U19" s="14">
        <f t="shared" si="5"/>
        <v>23</v>
      </c>
      <c r="V19" s="19">
        <v>46</v>
      </c>
      <c r="W19" s="17"/>
      <c r="X19" s="60"/>
      <c r="Y19" s="64">
        <f t="shared" si="6"/>
        <v>46</v>
      </c>
      <c r="Z19" s="69"/>
      <c r="AA19" s="14">
        <f t="shared" si="7"/>
        <v>46</v>
      </c>
      <c r="AB19" s="145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18"/>
      <c r="K20" s="16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>
        <v>300</v>
      </c>
      <c r="Y20" s="64">
        <f t="shared" si="6"/>
        <v>300</v>
      </c>
      <c r="Z20" s="69"/>
      <c r="AA20" s="14">
        <f t="shared" si="7"/>
        <v>300</v>
      </c>
      <c r="AB20" s="145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939.2</v>
      </c>
      <c r="G21" s="64">
        <f t="shared" si="1"/>
        <v>939.2</v>
      </c>
      <c r="H21" s="70"/>
      <c r="I21" s="14">
        <f>G21+H21</f>
        <v>939.2</v>
      </c>
      <c r="J21" s="18"/>
      <c r="K21" s="16"/>
      <c r="L21" s="61">
        <v>395</v>
      </c>
      <c r="M21" s="64">
        <f t="shared" si="0"/>
        <v>395</v>
      </c>
      <c r="N21" s="70"/>
      <c r="O21" s="14">
        <f>M21+N21</f>
        <v>395</v>
      </c>
      <c r="P21" s="18"/>
      <c r="Q21" s="16"/>
      <c r="R21" s="61">
        <v>517.6</v>
      </c>
      <c r="S21" s="64">
        <f t="shared" si="4"/>
        <v>517.6</v>
      </c>
      <c r="T21" s="70"/>
      <c r="U21" s="14">
        <f>S21+T21</f>
        <v>517.6</v>
      </c>
      <c r="V21" s="18"/>
      <c r="W21" s="16"/>
      <c r="X21" s="61">
        <v>465</v>
      </c>
      <c r="Y21" s="64">
        <f t="shared" si="6"/>
        <v>465</v>
      </c>
      <c r="Z21" s="70"/>
      <c r="AA21" s="14">
        <f>Y21+Z21</f>
        <v>465</v>
      </c>
      <c r="AB21" s="145">
        <f t="shared" si="8"/>
        <v>1.1772151898734178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653.4</v>
      </c>
      <c r="G22" s="64">
        <f t="shared" si="1"/>
        <v>653.4</v>
      </c>
      <c r="H22" s="70"/>
      <c r="I22" s="14">
        <f t="shared" si="2"/>
        <v>653.4</v>
      </c>
      <c r="J22" s="18"/>
      <c r="K22" s="16"/>
      <c r="L22" s="61">
        <v>570</v>
      </c>
      <c r="M22" s="64">
        <f t="shared" si="0"/>
        <v>570</v>
      </c>
      <c r="N22" s="70"/>
      <c r="O22" s="14">
        <f t="shared" ref="O22:O23" si="9">M22+N22</f>
        <v>570</v>
      </c>
      <c r="P22" s="18"/>
      <c r="Q22" s="16"/>
      <c r="R22" s="61">
        <v>343.3</v>
      </c>
      <c r="S22" s="64">
        <f t="shared" si="4"/>
        <v>343.3</v>
      </c>
      <c r="T22" s="70"/>
      <c r="U22" s="14">
        <f t="shared" ref="U22:U23" si="10">S22+T22</f>
        <v>343.3</v>
      </c>
      <c r="V22" s="18"/>
      <c r="W22" s="16"/>
      <c r="X22" s="61">
        <v>590</v>
      </c>
      <c r="Y22" s="64">
        <f t="shared" si="6"/>
        <v>590</v>
      </c>
      <c r="Z22" s="70"/>
      <c r="AA22" s="14">
        <f t="shared" ref="AA22:AA23" si="11">Y22+Z22</f>
        <v>590</v>
      </c>
      <c r="AB22" s="145">
        <f t="shared" si="8"/>
        <v>1.0350877192982457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69.8</v>
      </c>
      <c r="G23" s="65">
        <f t="shared" si="1"/>
        <v>69.8</v>
      </c>
      <c r="H23" s="71"/>
      <c r="I23" s="23">
        <f t="shared" si="2"/>
        <v>69.8</v>
      </c>
      <c r="J23" s="21"/>
      <c r="K23" s="22"/>
      <c r="L23" s="62">
        <v>30</v>
      </c>
      <c r="M23" s="65">
        <f t="shared" si="0"/>
        <v>30</v>
      </c>
      <c r="N23" s="71"/>
      <c r="O23" s="23">
        <f t="shared" si="9"/>
        <v>30</v>
      </c>
      <c r="P23" s="21"/>
      <c r="Q23" s="22"/>
      <c r="R23" s="62">
        <v>48.6</v>
      </c>
      <c r="S23" s="65">
        <f t="shared" si="4"/>
        <v>48.6</v>
      </c>
      <c r="T23" s="71"/>
      <c r="U23" s="23">
        <f t="shared" si="10"/>
        <v>48.6</v>
      </c>
      <c r="V23" s="21"/>
      <c r="W23" s="22"/>
      <c r="X23" s="62">
        <v>50</v>
      </c>
      <c r="Y23" s="65">
        <f t="shared" si="6"/>
        <v>50</v>
      </c>
      <c r="Z23" s="71"/>
      <c r="AA23" s="23">
        <f t="shared" si="11"/>
        <v>50</v>
      </c>
      <c r="AB23" s="148">
        <f t="shared" si="8"/>
        <v>1.6666666666666667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28664</v>
      </c>
      <c r="E24" s="27">
        <f>SUM(E15:E21)</f>
        <v>1665.6</v>
      </c>
      <c r="F24" s="27">
        <f>SUM(F15:F21)</f>
        <v>3993.3999999999996</v>
      </c>
      <c r="G24" s="28">
        <f>SUM(D24:F24)</f>
        <v>34323</v>
      </c>
      <c r="H24" s="29">
        <f>SUM(H15:H21)</f>
        <v>0</v>
      </c>
      <c r="I24" s="29">
        <f>SUM(I15:I21)</f>
        <v>34323</v>
      </c>
      <c r="J24" s="26">
        <f>SUM(J15:J21)</f>
        <v>29599</v>
      </c>
      <c r="K24" s="27">
        <f>SUM(K15:K21)</f>
        <v>1497</v>
      </c>
      <c r="L24" s="27">
        <f>SUM(L15:L21)</f>
        <v>3404</v>
      </c>
      <c r="M24" s="28">
        <f>SUM(J24:L24)</f>
        <v>34500</v>
      </c>
      <c r="N24" s="29">
        <f>SUM(N15:N21)</f>
        <v>0</v>
      </c>
      <c r="O24" s="29">
        <f>SUM(O15:O21)</f>
        <v>34500</v>
      </c>
      <c r="P24" s="26">
        <f>SUM(P15:P21)</f>
        <v>14799.5</v>
      </c>
      <c r="Q24" s="27">
        <f>SUM(Q15:Q21)</f>
        <v>2004.6</v>
      </c>
      <c r="R24" s="27">
        <f>SUM(R15:R21)</f>
        <v>2160.6</v>
      </c>
      <c r="S24" s="28">
        <f>SUM(P24:R24)</f>
        <v>18964.699999999997</v>
      </c>
      <c r="T24" s="29">
        <f>SUM(T15:T21)</f>
        <v>0</v>
      </c>
      <c r="U24" s="29">
        <f>SUM(U15:U21)</f>
        <v>18964.699999999997</v>
      </c>
      <c r="V24" s="26">
        <f>SUM(V15:V21)</f>
        <v>28342</v>
      </c>
      <c r="W24" s="27">
        <f>SUM(W15:W21)</f>
        <v>1497</v>
      </c>
      <c r="X24" s="27">
        <f>SUM(X15:X21)</f>
        <v>3854</v>
      </c>
      <c r="Y24" s="28">
        <f>SUM(V24:X24)</f>
        <v>33693</v>
      </c>
      <c r="Z24" s="29">
        <f>SUM(Z15:Z21)</f>
        <v>0</v>
      </c>
      <c r="AA24" s="29">
        <f>SUM(AA15:AA21)</f>
        <v>33693</v>
      </c>
      <c r="AB24" s="149">
        <f t="shared" si="8"/>
        <v>0.9766086956521739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211" t="s">
        <v>68</v>
      </c>
      <c r="K25" s="212"/>
      <c r="L25" s="212"/>
      <c r="M25" s="213"/>
      <c r="N25" s="213"/>
      <c r="O25" s="214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198" t="s">
        <v>99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201" t="s">
        <v>69</v>
      </c>
      <c r="K26" s="202"/>
      <c r="L26" s="202"/>
      <c r="M26" s="203" t="s">
        <v>64</v>
      </c>
      <c r="N26" s="205" t="s">
        <v>67</v>
      </c>
      <c r="O26" s="207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199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32" t="s">
        <v>54</v>
      </c>
      <c r="K27" s="33" t="s">
        <v>55</v>
      </c>
      <c r="L27" s="34" t="s">
        <v>56</v>
      </c>
      <c r="M27" s="204"/>
      <c r="N27" s="206"/>
      <c r="O27" s="208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20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158">
        <v>1617.6</v>
      </c>
      <c r="E28" s="72"/>
      <c r="F28" s="72"/>
      <c r="G28" s="73">
        <f>SUM(D28:F28)</f>
        <v>1617.6</v>
      </c>
      <c r="H28" s="73"/>
      <c r="I28" s="37">
        <f>G28+H28</f>
        <v>1617.6</v>
      </c>
      <c r="J28" s="80">
        <v>1500</v>
      </c>
      <c r="K28" s="72"/>
      <c r="L28" s="72"/>
      <c r="M28" s="73">
        <f>SUM(J28:L28)</f>
        <v>1500</v>
      </c>
      <c r="N28" s="73"/>
      <c r="O28" s="37">
        <f>M28+N28</f>
        <v>1500</v>
      </c>
      <c r="P28" s="80">
        <v>315</v>
      </c>
      <c r="Q28" s="72"/>
      <c r="R28" s="72"/>
      <c r="S28" s="73">
        <f>SUM(P28:R28)</f>
        <v>315</v>
      </c>
      <c r="T28" s="73"/>
      <c r="U28" s="37">
        <f>S28+T28</f>
        <v>315</v>
      </c>
      <c r="V28" s="80">
        <v>600</v>
      </c>
      <c r="W28" s="72"/>
      <c r="X28" s="72"/>
      <c r="Y28" s="73">
        <f>SUM(V28:X28)</f>
        <v>600</v>
      </c>
      <c r="Z28" s="73"/>
      <c r="AA28" s="37">
        <f>Y28+Z28</f>
        <v>600</v>
      </c>
      <c r="AB28" s="145">
        <f t="shared" ref="AB28:AB41" si="12">(AA28/O28)</f>
        <v>0.4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58">
        <f>2995.4-27.2-2400</f>
        <v>568.20000000000027</v>
      </c>
      <c r="E29" s="74">
        <f>482.1+27.2</f>
        <v>509.3</v>
      </c>
      <c r="F29" s="74">
        <v>2400</v>
      </c>
      <c r="G29" s="75">
        <f t="shared" ref="G29:G38" si="13">SUM(D29:F29)</f>
        <v>3477.5</v>
      </c>
      <c r="H29" s="76"/>
      <c r="I29" s="14">
        <f t="shared" ref="I29:I38" si="14">G29+H29</f>
        <v>3477.5</v>
      </c>
      <c r="J29" s="81">
        <v>280</v>
      </c>
      <c r="K29" s="77">
        <v>476</v>
      </c>
      <c r="L29" s="74">
        <v>2600</v>
      </c>
      <c r="M29" s="75">
        <f t="shared" ref="M29:M38" si="15">SUM(J29:L29)</f>
        <v>3356</v>
      </c>
      <c r="N29" s="76"/>
      <c r="O29" s="14">
        <f t="shared" ref="O29:O38" si="16">M29+N29</f>
        <v>3356</v>
      </c>
      <c r="P29" s="81">
        <v>94.8</v>
      </c>
      <c r="Q29" s="74">
        <v>287.5</v>
      </c>
      <c r="R29" s="74">
        <v>1010</v>
      </c>
      <c r="S29" s="75">
        <f t="shared" ref="S29:S38" si="17">SUM(P29:R29)</f>
        <v>1392.3</v>
      </c>
      <c r="T29" s="76"/>
      <c r="U29" s="14">
        <f t="shared" ref="U29:U38" si="18">S29+T29</f>
        <v>1392.3</v>
      </c>
      <c r="V29" s="81">
        <v>81</v>
      </c>
      <c r="W29" s="77">
        <v>476</v>
      </c>
      <c r="X29" s="74">
        <v>2438</v>
      </c>
      <c r="Y29" s="75">
        <f t="shared" ref="Y29:Y38" si="19">SUM(V29:X29)</f>
        <v>2995</v>
      </c>
      <c r="Z29" s="76"/>
      <c r="AA29" s="14">
        <f t="shared" ref="AA29:AA38" si="20">Y29+Z29</f>
        <v>2995</v>
      </c>
      <c r="AB29" s="145">
        <f t="shared" si="12"/>
        <v>0.89243146603098922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158">
        <v>2050.6999999999998</v>
      </c>
      <c r="E30" s="77"/>
      <c r="F30" s="77" t="s">
        <v>87</v>
      </c>
      <c r="G30" s="75">
        <f t="shared" si="13"/>
        <v>2050.6999999999998</v>
      </c>
      <c r="H30" s="75"/>
      <c r="I30" s="14">
        <f t="shared" si="14"/>
        <v>2050.6999999999998</v>
      </c>
      <c r="J30" s="82">
        <v>1990</v>
      </c>
      <c r="K30" s="77">
        <v>5</v>
      </c>
      <c r="L30" s="77"/>
      <c r="M30" s="75">
        <f t="shared" si="15"/>
        <v>1995</v>
      </c>
      <c r="N30" s="75"/>
      <c r="O30" s="14">
        <f t="shared" si="16"/>
        <v>1995</v>
      </c>
      <c r="P30" s="82">
        <v>1279.0999999999999</v>
      </c>
      <c r="Q30" s="77"/>
      <c r="R30" s="74"/>
      <c r="S30" s="75">
        <f t="shared" si="17"/>
        <v>1279.0999999999999</v>
      </c>
      <c r="T30" s="75"/>
      <c r="U30" s="14">
        <f t="shared" si="18"/>
        <v>1279.0999999999999</v>
      </c>
      <c r="V30" s="82">
        <v>2350</v>
      </c>
      <c r="W30" s="77">
        <v>0</v>
      </c>
      <c r="X30" s="77"/>
      <c r="Y30" s="75">
        <f t="shared" si="19"/>
        <v>2350</v>
      </c>
      <c r="Z30" s="75"/>
      <c r="AA30" s="14">
        <f t="shared" si="20"/>
        <v>2350</v>
      </c>
      <c r="AB30" s="145">
        <f t="shared" si="12"/>
        <v>1.1779448621553885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158">
        <f>2652.7-950</f>
        <v>1702.6999999999998</v>
      </c>
      <c r="E31" s="77">
        <v>55.5</v>
      </c>
      <c r="F31" s="77">
        <v>950</v>
      </c>
      <c r="G31" s="75">
        <f t="shared" si="13"/>
        <v>2708.2</v>
      </c>
      <c r="H31" s="75"/>
      <c r="I31" s="14">
        <f t="shared" si="14"/>
        <v>2708.2</v>
      </c>
      <c r="J31" s="82">
        <v>2315</v>
      </c>
      <c r="K31" s="77">
        <v>57</v>
      </c>
      <c r="L31" s="77">
        <v>643</v>
      </c>
      <c r="M31" s="75">
        <f t="shared" si="15"/>
        <v>3015</v>
      </c>
      <c r="N31" s="75"/>
      <c r="O31" s="14">
        <f t="shared" si="16"/>
        <v>3015</v>
      </c>
      <c r="P31" s="82">
        <v>688.7</v>
      </c>
      <c r="Q31" s="77">
        <v>66.900000000000006</v>
      </c>
      <c r="R31" s="74">
        <v>790</v>
      </c>
      <c r="S31" s="75">
        <f t="shared" si="17"/>
        <v>1545.6</v>
      </c>
      <c r="T31" s="75"/>
      <c r="U31" s="14">
        <f t="shared" si="18"/>
        <v>1545.6</v>
      </c>
      <c r="V31" s="82">
        <v>1720</v>
      </c>
      <c r="W31" s="77">
        <v>57</v>
      </c>
      <c r="X31" s="77">
        <v>643</v>
      </c>
      <c r="Y31" s="75">
        <f t="shared" si="19"/>
        <v>2420</v>
      </c>
      <c r="Z31" s="75"/>
      <c r="AA31" s="14">
        <f t="shared" si="20"/>
        <v>2420</v>
      </c>
      <c r="AB31" s="145">
        <f t="shared" si="12"/>
        <v>0.80265339966832505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158">
        <f>D33+D34</f>
        <v>15476.6</v>
      </c>
      <c r="E32" s="77">
        <f>SUM(E33:E34)</f>
        <v>843.8</v>
      </c>
      <c r="F32" s="77"/>
      <c r="G32" s="75">
        <f t="shared" si="13"/>
        <v>16320.4</v>
      </c>
      <c r="H32" s="75"/>
      <c r="I32" s="14">
        <f t="shared" si="14"/>
        <v>16320.4</v>
      </c>
      <c r="J32" s="82">
        <f>SUM(J33:J34)</f>
        <v>16250</v>
      </c>
      <c r="K32" s="77">
        <f>SUM(K33:K34)</f>
        <v>705</v>
      </c>
      <c r="L32" s="77"/>
      <c r="M32" s="75">
        <f t="shared" si="15"/>
        <v>16955</v>
      </c>
      <c r="N32" s="75"/>
      <c r="O32" s="14">
        <f t="shared" si="16"/>
        <v>16955</v>
      </c>
      <c r="P32" s="82">
        <f>SUM(P33:P34)</f>
        <v>7648</v>
      </c>
      <c r="Q32" s="77">
        <f>SUM(Q33:Q34)</f>
        <v>420.8</v>
      </c>
      <c r="R32" s="74"/>
      <c r="S32" s="75">
        <f t="shared" si="17"/>
        <v>8068.8</v>
      </c>
      <c r="T32" s="75"/>
      <c r="U32" s="14">
        <f t="shared" si="18"/>
        <v>8068.8</v>
      </c>
      <c r="V32" s="82">
        <f>SUM(V33:V34)</f>
        <v>16250</v>
      </c>
      <c r="W32" s="77">
        <f>SUM(W33:W34)</f>
        <v>705</v>
      </c>
      <c r="X32" s="77">
        <f>SUM(X33:X34)</f>
        <v>300</v>
      </c>
      <c r="Y32" s="75">
        <f t="shared" si="19"/>
        <v>17255</v>
      </c>
      <c r="Z32" s="75"/>
      <c r="AA32" s="14">
        <f t="shared" si="20"/>
        <v>17255</v>
      </c>
      <c r="AB32" s="145">
        <f t="shared" si="12"/>
        <v>1.017693895606016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159">
        <f>14752.5-141.4</f>
        <v>14611.1</v>
      </c>
      <c r="E33" s="77">
        <f>673.3+141.4</f>
        <v>814.69999999999993</v>
      </c>
      <c r="F33" s="77"/>
      <c r="G33" s="75">
        <f t="shared" si="13"/>
        <v>15425.800000000001</v>
      </c>
      <c r="H33" s="75"/>
      <c r="I33" s="14">
        <f t="shared" si="14"/>
        <v>15425.800000000001</v>
      </c>
      <c r="J33" s="82">
        <v>15150</v>
      </c>
      <c r="K33" s="77">
        <v>670</v>
      </c>
      <c r="L33" s="77"/>
      <c r="M33" s="75">
        <f t="shared" si="15"/>
        <v>15820</v>
      </c>
      <c r="N33" s="75"/>
      <c r="O33" s="14">
        <f t="shared" si="16"/>
        <v>15820</v>
      </c>
      <c r="P33" s="82">
        <f>7246.5+53.4</f>
        <v>7299.9</v>
      </c>
      <c r="Q33" s="77">
        <v>420.8</v>
      </c>
      <c r="R33" s="74"/>
      <c r="S33" s="75">
        <f t="shared" si="17"/>
        <v>7720.7</v>
      </c>
      <c r="T33" s="75"/>
      <c r="U33" s="14">
        <f t="shared" si="18"/>
        <v>7720.7</v>
      </c>
      <c r="V33" s="82">
        <v>15400</v>
      </c>
      <c r="W33" s="77">
        <v>670</v>
      </c>
      <c r="X33" s="77">
        <v>300</v>
      </c>
      <c r="Y33" s="75">
        <f t="shared" si="19"/>
        <v>16370</v>
      </c>
      <c r="Z33" s="75"/>
      <c r="AA33" s="14">
        <f t="shared" si="20"/>
        <v>16370</v>
      </c>
      <c r="AB33" s="145">
        <f t="shared" si="12"/>
        <v>1.0347661188369153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159">
        <v>865.5</v>
      </c>
      <c r="E34" s="77">
        <v>29.1</v>
      </c>
      <c r="F34" s="77"/>
      <c r="G34" s="75">
        <f t="shared" si="13"/>
        <v>894.6</v>
      </c>
      <c r="H34" s="75"/>
      <c r="I34" s="14">
        <f t="shared" si="14"/>
        <v>894.6</v>
      </c>
      <c r="J34" s="82">
        <v>1100</v>
      </c>
      <c r="K34" s="77">
        <v>35</v>
      </c>
      <c r="L34" s="77"/>
      <c r="M34" s="75">
        <f>SUM(J34:L34)</f>
        <v>1135</v>
      </c>
      <c r="N34" s="75"/>
      <c r="O34" s="14">
        <f t="shared" si="16"/>
        <v>1135</v>
      </c>
      <c r="P34" s="83">
        <v>348.1</v>
      </c>
      <c r="Q34" s="77">
        <v>0</v>
      </c>
      <c r="R34" s="74"/>
      <c r="S34" s="75">
        <f t="shared" si="17"/>
        <v>348.1</v>
      </c>
      <c r="T34" s="75"/>
      <c r="U34" s="14">
        <f t="shared" si="18"/>
        <v>348.1</v>
      </c>
      <c r="V34" s="82">
        <v>850</v>
      </c>
      <c r="W34" s="77">
        <v>35</v>
      </c>
      <c r="X34" s="77"/>
      <c r="Y34" s="75">
        <f t="shared" si="19"/>
        <v>885</v>
      </c>
      <c r="Z34" s="75"/>
      <c r="AA34" s="14">
        <f t="shared" si="20"/>
        <v>885</v>
      </c>
      <c r="AB34" s="145">
        <f t="shared" si="12"/>
        <v>0.77973568281938321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158">
        <v>5002.6000000000004</v>
      </c>
      <c r="E35" s="77">
        <v>229.5</v>
      </c>
      <c r="F35" s="77"/>
      <c r="G35" s="75">
        <f t="shared" si="13"/>
        <v>5232.1000000000004</v>
      </c>
      <c r="H35" s="75"/>
      <c r="I35" s="14">
        <f t="shared" si="14"/>
        <v>5232.1000000000004</v>
      </c>
      <c r="J35" s="82">
        <v>5096</v>
      </c>
      <c r="K35" s="77">
        <v>226</v>
      </c>
      <c r="L35" s="77"/>
      <c r="M35" s="75">
        <f t="shared" si="15"/>
        <v>5322</v>
      </c>
      <c r="N35" s="75"/>
      <c r="O35" s="14">
        <f t="shared" si="16"/>
        <v>5322</v>
      </c>
      <c r="P35" s="82">
        <f>2453.5+20.3</f>
        <v>2473.8000000000002</v>
      </c>
      <c r="Q35" s="77">
        <v>143.30000000000001</v>
      </c>
      <c r="R35" s="74"/>
      <c r="S35" s="75">
        <f t="shared" si="17"/>
        <v>2617.1000000000004</v>
      </c>
      <c r="T35" s="75"/>
      <c r="U35" s="14">
        <f t="shared" si="18"/>
        <v>2617.1000000000004</v>
      </c>
      <c r="V35" s="82">
        <v>5501</v>
      </c>
      <c r="W35" s="77">
        <v>228</v>
      </c>
      <c r="X35" s="77"/>
      <c r="Y35" s="75">
        <f t="shared" si="19"/>
        <v>5729</v>
      </c>
      <c r="Z35" s="75"/>
      <c r="AA35" s="14">
        <f t="shared" si="20"/>
        <v>5729</v>
      </c>
      <c r="AB35" s="145">
        <f t="shared" si="12"/>
        <v>1.0764750093949642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158">
        <v>67.099999999999994</v>
      </c>
      <c r="E36" s="77"/>
      <c r="F36" s="77"/>
      <c r="G36" s="75">
        <f t="shared" si="13"/>
        <v>67.099999999999994</v>
      </c>
      <c r="H36" s="75"/>
      <c r="I36" s="14">
        <f t="shared" si="14"/>
        <v>67.099999999999994</v>
      </c>
      <c r="J36" s="82">
        <v>45</v>
      </c>
      <c r="K36" s="77">
        <v>0</v>
      </c>
      <c r="L36" s="77"/>
      <c r="M36" s="75">
        <f t="shared" si="15"/>
        <v>45</v>
      </c>
      <c r="N36" s="75"/>
      <c r="O36" s="14">
        <f t="shared" si="16"/>
        <v>45</v>
      </c>
      <c r="P36" s="82">
        <v>8.3000000000000007</v>
      </c>
      <c r="Q36" s="77"/>
      <c r="R36" s="74"/>
      <c r="S36" s="75">
        <f t="shared" si="17"/>
        <v>8.3000000000000007</v>
      </c>
      <c r="T36" s="75"/>
      <c r="U36" s="14">
        <f t="shared" si="18"/>
        <v>8.3000000000000007</v>
      </c>
      <c r="V36" s="82">
        <v>5</v>
      </c>
      <c r="W36" s="77">
        <v>0</v>
      </c>
      <c r="X36" s="77"/>
      <c r="Y36" s="75">
        <f t="shared" si="19"/>
        <v>5</v>
      </c>
      <c r="Z36" s="75"/>
      <c r="AA36" s="14">
        <f t="shared" si="20"/>
        <v>5</v>
      </c>
      <c r="AB36" s="145">
        <f t="shared" si="12"/>
        <v>0.1111111111111111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158">
        <v>765.8</v>
      </c>
      <c r="E37" s="77"/>
      <c r="F37" s="77"/>
      <c r="G37" s="75">
        <f t="shared" si="13"/>
        <v>765.8</v>
      </c>
      <c r="H37" s="75"/>
      <c r="I37" s="14">
        <f t="shared" si="14"/>
        <v>765.8</v>
      </c>
      <c r="J37" s="82">
        <v>759</v>
      </c>
      <c r="K37" s="77">
        <v>0</v>
      </c>
      <c r="L37" s="77"/>
      <c r="M37" s="75">
        <f t="shared" si="15"/>
        <v>759</v>
      </c>
      <c r="N37" s="75"/>
      <c r="O37" s="14">
        <f t="shared" si="16"/>
        <v>759</v>
      </c>
      <c r="P37" s="82">
        <v>386</v>
      </c>
      <c r="Q37" s="77"/>
      <c r="R37" s="74"/>
      <c r="S37" s="75">
        <f t="shared" si="17"/>
        <v>386</v>
      </c>
      <c r="T37" s="75"/>
      <c r="U37" s="14">
        <f t="shared" si="18"/>
        <v>386</v>
      </c>
      <c r="V37" s="82">
        <v>761</v>
      </c>
      <c r="W37" s="77">
        <v>0</v>
      </c>
      <c r="X37" s="77"/>
      <c r="Y37" s="75">
        <f t="shared" si="19"/>
        <v>761</v>
      </c>
      <c r="Z37" s="75"/>
      <c r="AA37" s="14">
        <f t="shared" si="20"/>
        <v>761</v>
      </c>
      <c r="AB37" s="145">
        <f t="shared" si="12"/>
        <v>1.0026350461133069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158">
        <f>1319.8-360</f>
        <v>959.8</v>
      </c>
      <c r="E38" s="78">
        <v>27.5</v>
      </c>
      <c r="F38" s="78">
        <v>360</v>
      </c>
      <c r="G38" s="75">
        <f t="shared" si="13"/>
        <v>1347.3</v>
      </c>
      <c r="H38" s="79"/>
      <c r="I38" s="23">
        <f t="shared" si="14"/>
        <v>1347.3</v>
      </c>
      <c r="J38" s="84">
        <v>1364</v>
      </c>
      <c r="K38" s="78">
        <v>28</v>
      </c>
      <c r="L38" s="78">
        <v>161</v>
      </c>
      <c r="M38" s="79">
        <f t="shared" si="15"/>
        <v>1553</v>
      </c>
      <c r="N38" s="79"/>
      <c r="O38" s="23">
        <f t="shared" si="16"/>
        <v>1553</v>
      </c>
      <c r="P38" s="84">
        <v>678.1</v>
      </c>
      <c r="Q38" s="78">
        <v>19.100000000000001</v>
      </c>
      <c r="R38" s="157">
        <v>210</v>
      </c>
      <c r="S38" s="79">
        <f t="shared" si="17"/>
        <v>907.2</v>
      </c>
      <c r="T38" s="79"/>
      <c r="U38" s="23">
        <f t="shared" si="18"/>
        <v>907.2</v>
      </c>
      <c r="V38" s="84">
        <v>1286</v>
      </c>
      <c r="W38" s="78">
        <v>31</v>
      </c>
      <c r="X38" s="78">
        <v>261</v>
      </c>
      <c r="Y38" s="79">
        <f t="shared" si="19"/>
        <v>1578</v>
      </c>
      <c r="Z38" s="79"/>
      <c r="AA38" s="23">
        <f t="shared" si="20"/>
        <v>1578</v>
      </c>
      <c r="AB38" s="148">
        <f t="shared" si="12"/>
        <v>1.0160978750804894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28211.1</v>
      </c>
      <c r="E39" s="42">
        <f>SUM(E35:E38)+SUM(E28:E32)</f>
        <v>1665.6</v>
      </c>
      <c r="F39" s="42">
        <f>SUM(F35:F38)+SUM(F28:F32)</f>
        <v>3710</v>
      </c>
      <c r="G39" s="144">
        <f>SUM(D39:F39)</f>
        <v>33586.699999999997</v>
      </c>
      <c r="H39" s="43">
        <f>SUM(H28:H32)+SUM(H35:H38)</f>
        <v>0</v>
      </c>
      <c r="I39" s="44">
        <f>SUM(I35:I38)+SUM(I28:I32)</f>
        <v>33586.700000000004</v>
      </c>
      <c r="J39" s="42">
        <f>SUM(J35:J38)+SUM(J28:J32)</f>
        <v>29599</v>
      </c>
      <c r="K39" s="42">
        <f>SUM(K35:K38)+SUM(K28:K32)</f>
        <v>1497</v>
      </c>
      <c r="L39" s="42">
        <f>SUM(L35:L38)+SUM(L28:L32)</f>
        <v>3404</v>
      </c>
      <c r="M39" s="144">
        <f>SUM(J39:L39)</f>
        <v>34500</v>
      </c>
      <c r="N39" s="43">
        <f>SUM(N28:N32)+SUM(N35:N38)</f>
        <v>0</v>
      </c>
      <c r="O39" s="44">
        <f>SUM(O35:O38)+SUM(O28:O32)</f>
        <v>34500</v>
      </c>
      <c r="P39" s="42">
        <f>SUM(P35:P38)+SUM(P28:P32)</f>
        <v>13571.800000000001</v>
      </c>
      <c r="Q39" s="42">
        <f>SUM(Q35:Q38)+SUM(Q28:Q32)</f>
        <v>937.6</v>
      </c>
      <c r="R39" s="42">
        <f>SUM(R35:R38)+SUM(R28:R32)</f>
        <v>2010</v>
      </c>
      <c r="S39" s="144">
        <f>SUM(P39:R39)</f>
        <v>16519.400000000001</v>
      </c>
      <c r="T39" s="43">
        <f>SUM(T28:T32)+SUM(T35:T38)</f>
        <v>0</v>
      </c>
      <c r="U39" s="44">
        <f>SUM(U35:U38)+SUM(U28:U32)</f>
        <v>16519.400000000001</v>
      </c>
      <c r="V39" s="42">
        <f>SUM(V35:V38)+SUM(V28:V32)</f>
        <v>28554</v>
      </c>
      <c r="W39" s="42">
        <f>SUM(W35:W38)+SUM(W28:W32)</f>
        <v>1497</v>
      </c>
      <c r="X39" s="42">
        <f>SUM(X35:X38)+SUM(X28:X32)</f>
        <v>3642</v>
      </c>
      <c r="Y39" s="144">
        <f>SUM(V39:X39)</f>
        <v>33693</v>
      </c>
      <c r="Z39" s="43">
        <f>SUM(Z28:Z32)+SUM(Z35:Z38)</f>
        <v>0</v>
      </c>
      <c r="AA39" s="44">
        <f>SUM(AA35:AA38)+SUM(AA28:AA32)</f>
        <v>33693</v>
      </c>
      <c r="AB39" s="150">
        <f t="shared" si="12"/>
        <v>0.9766086956521739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452.90000000000146</v>
      </c>
      <c r="E40" s="109">
        <f t="shared" si="21"/>
        <v>0</v>
      </c>
      <c r="F40" s="109">
        <f t="shared" si="21"/>
        <v>283.39999999999964</v>
      </c>
      <c r="G40" s="118">
        <f t="shared" si="21"/>
        <v>736.30000000000291</v>
      </c>
      <c r="H40" s="118">
        <f t="shared" si="21"/>
        <v>0</v>
      </c>
      <c r="I40" s="119">
        <f t="shared" si="21"/>
        <v>736.29999999999563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si="21"/>
        <v>1227.6999999999989</v>
      </c>
      <c r="Q40" s="109">
        <f t="shared" si="21"/>
        <v>1067</v>
      </c>
      <c r="R40" s="109">
        <f t="shared" si="21"/>
        <v>150.59999999999991</v>
      </c>
      <c r="S40" s="118">
        <f t="shared" si="21"/>
        <v>2445.2999999999956</v>
      </c>
      <c r="T40" s="118">
        <f t="shared" si="21"/>
        <v>0</v>
      </c>
      <c r="U40" s="119">
        <f t="shared" si="21"/>
        <v>2445.2999999999956</v>
      </c>
      <c r="V40" s="109">
        <f t="shared" si="21"/>
        <v>-212</v>
      </c>
      <c r="W40" s="109">
        <f t="shared" si="21"/>
        <v>0</v>
      </c>
      <c r="X40" s="109">
        <f t="shared" si="21"/>
        <v>212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1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-27881.700000000004</v>
      </c>
      <c r="J41" s="112"/>
      <c r="K41" s="113"/>
      <c r="L41" s="113"/>
      <c r="M41" s="114"/>
      <c r="N41" s="117"/>
      <c r="O41" s="116">
        <f>O40-J16</f>
        <v>-29553</v>
      </c>
      <c r="P41" s="112"/>
      <c r="Q41" s="113"/>
      <c r="R41" s="113"/>
      <c r="S41" s="114"/>
      <c r="T41" s="117"/>
      <c r="U41" s="116">
        <f>U40-P16</f>
        <v>-12331.200000000004</v>
      </c>
      <c r="V41" s="112"/>
      <c r="W41" s="113"/>
      <c r="X41" s="113"/>
      <c r="Y41" s="114"/>
      <c r="Z41" s="117"/>
      <c r="AA41" s="116">
        <f>AA40-V16</f>
        <v>-28296</v>
      </c>
      <c r="AB41" s="145">
        <f t="shared" si="12"/>
        <v>0.95746624708151462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/>
      <c r="E44" s="104"/>
      <c r="F44" s="105">
        <v>0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103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161">
        <v>1930.3</v>
      </c>
      <c r="E50" s="161">
        <v>400.9</v>
      </c>
      <c r="F50" s="162">
        <v>0</v>
      </c>
      <c r="G50" s="52">
        <f t="shared" ref="G50:G53" si="22">D50+E50-F50</f>
        <v>2331.1999999999998</v>
      </c>
      <c r="H50" s="49"/>
      <c r="I50" s="4"/>
      <c r="J50" s="85">
        <v>2331.1999999999998</v>
      </c>
      <c r="K50" s="85">
        <v>0</v>
      </c>
      <c r="L50" s="85">
        <v>0</v>
      </c>
      <c r="M50" s="52">
        <f t="shared" ref="M50:M53" si="23">J50+K50-L50</f>
        <v>2331.1999999999998</v>
      </c>
      <c r="N50" s="4"/>
      <c r="O50" s="4"/>
      <c r="P50" s="85">
        <v>2331.1999999999998</v>
      </c>
      <c r="Q50" s="85">
        <v>596.29999999999995</v>
      </c>
      <c r="R50" s="85">
        <v>0</v>
      </c>
      <c r="S50" s="52">
        <f>P50+Q50-R50</f>
        <v>2927.5</v>
      </c>
      <c r="T50" s="4"/>
      <c r="U50" s="4"/>
      <c r="V50" s="85">
        <v>2927.5</v>
      </c>
      <c r="W50" s="85">
        <v>0</v>
      </c>
      <c r="X50" s="85">
        <v>0</v>
      </c>
      <c r="Y50" s="52">
        <f t="shared" ref="Y50:Y53" si="24">V50+W50-X50</f>
        <v>2927.5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161">
        <v>520.70000000000005</v>
      </c>
      <c r="E51" s="162">
        <v>865.1</v>
      </c>
      <c r="F51" s="162">
        <v>161.30000000000001</v>
      </c>
      <c r="G51" s="52">
        <f t="shared" si="22"/>
        <v>1224.5000000000002</v>
      </c>
      <c r="H51" s="49"/>
      <c r="I51" s="4"/>
      <c r="J51" s="85">
        <v>1240.2</v>
      </c>
      <c r="K51" s="85">
        <v>759</v>
      </c>
      <c r="L51" s="85">
        <v>350</v>
      </c>
      <c r="M51" s="52">
        <f t="shared" si="23"/>
        <v>1649.2</v>
      </c>
      <c r="N51" s="4"/>
      <c r="O51" s="4"/>
      <c r="P51" s="163">
        <v>1224.5</v>
      </c>
      <c r="Q51" s="163">
        <v>363</v>
      </c>
      <c r="R51" s="163">
        <v>0</v>
      </c>
      <c r="S51" s="165">
        <f t="shared" ref="S51:S53" si="25">P51+Q51-R51</f>
        <v>1587.5</v>
      </c>
      <c r="T51" s="4"/>
      <c r="U51" s="4"/>
      <c r="V51" s="85">
        <v>1729</v>
      </c>
      <c r="W51" s="85">
        <v>761</v>
      </c>
      <c r="X51" s="85">
        <v>150</v>
      </c>
      <c r="Y51" s="52">
        <f t="shared" si="24"/>
        <v>2340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88</v>
      </c>
      <c r="D52" s="161">
        <v>562.6</v>
      </c>
      <c r="E52" s="161">
        <v>200</v>
      </c>
      <c r="F52" s="162">
        <v>100</v>
      </c>
      <c r="G52" s="52">
        <f t="shared" si="22"/>
        <v>662.6</v>
      </c>
      <c r="H52" s="49"/>
      <c r="I52" s="4"/>
      <c r="J52" s="85">
        <v>362.6</v>
      </c>
      <c r="K52" s="85">
        <v>0</v>
      </c>
      <c r="L52" s="85">
        <v>0</v>
      </c>
      <c r="M52" s="52">
        <f t="shared" si="23"/>
        <v>362.6</v>
      </c>
      <c r="N52" s="4"/>
      <c r="O52" s="4"/>
      <c r="P52" s="85">
        <v>662.6</v>
      </c>
      <c r="Q52" s="85">
        <v>140</v>
      </c>
      <c r="R52" s="85">
        <v>0</v>
      </c>
      <c r="S52" s="52">
        <f t="shared" si="25"/>
        <v>802.6</v>
      </c>
      <c r="T52" s="4"/>
      <c r="U52" s="4"/>
      <c r="V52" s="85">
        <v>802.6</v>
      </c>
      <c r="W52" s="85">
        <v>0</v>
      </c>
      <c r="X52" s="85">
        <v>300</v>
      </c>
      <c r="Y52" s="52">
        <f t="shared" si="24"/>
        <v>502.6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133" t="s">
        <v>89</v>
      </c>
      <c r="D53" s="162">
        <v>395.7</v>
      </c>
      <c r="E53" s="162">
        <v>308.5</v>
      </c>
      <c r="F53" s="162">
        <v>373.2</v>
      </c>
      <c r="G53" s="52">
        <f t="shared" si="22"/>
        <v>331.00000000000006</v>
      </c>
      <c r="H53" s="49"/>
      <c r="I53" s="4"/>
      <c r="J53" s="85">
        <v>239</v>
      </c>
      <c r="K53" s="85">
        <v>307</v>
      </c>
      <c r="L53" s="85">
        <v>320</v>
      </c>
      <c r="M53" s="52">
        <f t="shared" si="23"/>
        <v>226</v>
      </c>
      <c r="N53" s="4"/>
      <c r="O53" s="4"/>
      <c r="P53" s="85">
        <v>331</v>
      </c>
      <c r="Q53" s="85">
        <v>37.1</v>
      </c>
      <c r="R53" s="85">
        <v>99.6</v>
      </c>
      <c r="S53" s="52">
        <f t="shared" si="25"/>
        <v>268.5</v>
      </c>
      <c r="T53" s="4"/>
      <c r="U53" s="4"/>
      <c r="V53" s="85">
        <v>239</v>
      </c>
      <c r="W53" s="85">
        <v>163</v>
      </c>
      <c r="X53" s="85">
        <v>320</v>
      </c>
      <c r="Y53" s="52">
        <f t="shared" si="24"/>
        <v>82</v>
      </c>
      <c r="Z53" s="4"/>
      <c r="AA53" s="4"/>
      <c r="AB53" s="4"/>
      <c r="AC53" s="4"/>
      <c r="AD53" s="4"/>
    </row>
    <row r="54" spans="1:30" ht="10.5" customHeight="1" x14ac:dyDescent="0.25">
      <c r="A54" s="5"/>
      <c r="B54" s="47"/>
      <c r="C54" s="48"/>
      <c r="D54" s="49"/>
      <c r="E54" s="49"/>
      <c r="F54" s="49"/>
      <c r="G54" s="49"/>
      <c r="H54" s="4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 t="s">
        <v>87</v>
      </c>
      <c r="Y54" s="4"/>
      <c r="Z54" s="4"/>
      <c r="AA54" s="4"/>
      <c r="AB54" s="4"/>
      <c r="AC54" s="4"/>
      <c r="AD54" s="4"/>
    </row>
    <row r="55" spans="1:30" x14ac:dyDescent="0.25">
      <c r="A55" s="5"/>
      <c r="B55" s="47"/>
      <c r="C55" s="98" t="s">
        <v>74</v>
      </c>
      <c r="D55" s="99" t="s">
        <v>75</v>
      </c>
      <c r="E55" s="99" t="s">
        <v>96</v>
      </c>
      <c r="F55" s="49"/>
      <c r="G55" s="49"/>
      <c r="H55" s="49"/>
      <c r="I55" s="50"/>
      <c r="J55" s="99" t="s">
        <v>97</v>
      </c>
      <c r="K55" s="49"/>
      <c r="L55" s="49"/>
      <c r="M55" s="49"/>
      <c r="N55" s="49"/>
      <c r="O55" s="50"/>
      <c r="P55" s="99" t="s">
        <v>98</v>
      </c>
      <c r="Q55" s="50"/>
      <c r="R55" s="50"/>
      <c r="S55" s="50"/>
      <c r="T55" s="50"/>
      <c r="U55" s="50"/>
      <c r="V55" s="99" t="s">
        <v>97</v>
      </c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51"/>
      <c r="D56" s="86">
        <v>33.1</v>
      </c>
      <c r="E56" s="86">
        <v>33.75</v>
      </c>
      <c r="F56" s="49"/>
      <c r="G56" s="49"/>
      <c r="H56" s="49"/>
      <c r="I56" s="50"/>
      <c r="J56" s="86">
        <v>33.75</v>
      </c>
      <c r="K56" s="49"/>
      <c r="L56" s="49"/>
      <c r="M56" s="49"/>
      <c r="N56" s="49"/>
      <c r="O56" s="50"/>
      <c r="P56" s="86">
        <v>32.5</v>
      </c>
      <c r="Q56" s="50"/>
      <c r="R56" s="50"/>
      <c r="S56" s="50"/>
      <c r="T56" s="50"/>
      <c r="U56" s="50"/>
      <c r="V56" s="86">
        <v>34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48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101" t="s">
        <v>92</v>
      </c>
      <c r="C58" s="100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152"/>
      <c r="W58" s="152"/>
      <c r="X58" s="152"/>
      <c r="Y58" s="152"/>
      <c r="Z58" s="152"/>
      <c r="AA58" s="152"/>
      <c r="AB58" s="153"/>
      <c r="AC58" s="4"/>
      <c r="AD58" s="4"/>
    </row>
    <row r="59" spans="1:30" x14ac:dyDescent="0.25">
      <c r="A59" s="5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4"/>
      <c r="AD59" s="4"/>
    </row>
    <row r="60" spans="1:30" x14ac:dyDescent="0.25">
      <c r="A60" s="5"/>
      <c r="B60" s="21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24"/>
      <c r="C82" s="91"/>
      <c r="D82" s="91"/>
      <c r="E82" s="91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43"/>
      <c r="C83" s="140"/>
      <c r="D83" s="2"/>
      <c r="E83" s="2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24"/>
      <c r="C84" s="125"/>
      <c r="D84" s="2"/>
      <c r="E84" s="2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34"/>
      <c r="C86" s="135"/>
      <c r="D86" s="136"/>
      <c r="E86" s="13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4"/>
      <c r="W86" s="154"/>
      <c r="X86" s="154"/>
      <c r="Y86" s="154"/>
      <c r="Z86" s="154"/>
      <c r="AA86" s="154"/>
      <c r="AB86" s="155"/>
      <c r="AC86" s="4"/>
      <c r="AD86" s="4"/>
    </row>
    <row r="87" spans="1:30" x14ac:dyDescent="0.25">
      <c r="A87" s="87"/>
      <c r="B87" s="138"/>
      <c r="C87" s="137"/>
      <c r="D87" s="138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0">
        <v>45574</v>
      </c>
      <c r="D90" s="53" t="s">
        <v>76</v>
      </c>
      <c r="E90" s="216" t="s">
        <v>105</v>
      </c>
      <c r="F90" s="216"/>
      <c r="G90" s="216"/>
      <c r="H90" s="53"/>
      <c r="I90" s="53" t="s">
        <v>77</v>
      </c>
      <c r="J90" s="223" t="s">
        <v>104</v>
      </c>
      <c r="K90" s="223"/>
      <c r="L90" s="223"/>
      <c r="M90" s="22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B61:U61"/>
    <mergeCell ref="B62:U62"/>
    <mergeCell ref="B81:U81"/>
    <mergeCell ref="E90:G90"/>
    <mergeCell ref="J90:M90"/>
    <mergeCell ref="B60:U60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C43:C44"/>
    <mergeCell ref="C46:C47"/>
    <mergeCell ref="D58:U58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AB25:AB27"/>
    <mergeCell ref="J26:L26"/>
    <mergeCell ref="M26:M27"/>
    <mergeCell ref="N26:N27"/>
    <mergeCell ref="O26:O27"/>
    <mergeCell ref="Z26:Z27"/>
    <mergeCell ref="AA26:AA27"/>
    <mergeCell ref="V26:X26"/>
    <mergeCell ref="Y26:Y27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13:F13"/>
    <mergeCell ref="AA13:AA14"/>
    <mergeCell ref="D4:U4"/>
    <mergeCell ref="D8:V8"/>
    <mergeCell ref="B10:B13"/>
    <mergeCell ref="C10:C13"/>
    <mergeCell ref="D10:I10"/>
    <mergeCell ref="J10:O10"/>
    <mergeCell ref="P10:U10"/>
    <mergeCell ref="V10:AA10"/>
    <mergeCell ref="G13:G14"/>
    <mergeCell ref="H13:H14"/>
    <mergeCell ref="P13:R13"/>
  </mergeCells>
  <conditionalFormatting sqref="AB15:AB25">
    <cfRule type="cellIs" dxfId="81" priority="3" operator="equal">
      <formula>0</formula>
    </cfRule>
    <cfRule type="containsErrors" dxfId="80" priority="4">
      <formula>ISERROR(AB15)</formula>
    </cfRule>
  </conditionalFormatting>
  <conditionalFormatting sqref="AB28:AB41">
    <cfRule type="cellIs" dxfId="79" priority="1" operator="equal">
      <formula>0</formula>
    </cfRule>
    <cfRule type="containsErrors" dxfId="78" priority="2">
      <formula>ISERROR(AB28)</formula>
    </cfRule>
  </conditionalFormatting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130"/>
  <sheetViews>
    <sheetView showGridLines="0" zoomScale="80" zoomScaleNormal="80" zoomScaleSheetLayoutView="80" workbookViewId="0">
      <selection activeCell="AA42" sqref="AA4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2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9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121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46790080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120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112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/>
      <c r="E15" s="430"/>
      <c r="F15" s="320">
        <v>7839.2</v>
      </c>
      <c r="G15" s="428">
        <f>SUM(D15:F15)</f>
        <v>7839.2</v>
      </c>
      <c r="H15" s="410">
        <v>1159.0999999999999</v>
      </c>
      <c r="I15" s="320">
        <f>G15+H15</f>
        <v>8998.2999999999993</v>
      </c>
      <c r="J15" s="435"/>
      <c r="K15" s="434"/>
      <c r="L15" s="433">
        <v>8950</v>
      </c>
      <c r="M15" s="432">
        <f>SUM(J15:L15)</f>
        <v>8950</v>
      </c>
      <c r="N15" s="411">
        <v>400</v>
      </c>
      <c r="O15" s="321">
        <f>M15+N15</f>
        <v>9350</v>
      </c>
      <c r="P15" s="431"/>
      <c r="Q15" s="430"/>
      <c r="R15" s="429">
        <v>6382.1</v>
      </c>
      <c r="S15" s="428">
        <f>SUM(P15:R15)</f>
        <v>6382.1</v>
      </c>
      <c r="T15" s="410">
        <v>11</v>
      </c>
      <c r="U15" s="320">
        <f>S15+T15</f>
        <v>6393.1</v>
      </c>
      <c r="V15" s="431"/>
      <c r="W15" s="430"/>
      <c r="X15" s="429">
        <v>6500</v>
      </c>
      <c r="Y15" s="428">
        <f>SUM(V15:X15)</f>
        <v>6500</v>
      </c>
      <c r="Z15" s="410">
        <v>400</v>
      </c>
      <c r="AA15" s="320">
        <f>Y15+Z15</f>
        <v>6900</v>
      </c>
      <c r="AB15" s="280">
        <f>(AA15/O15)</f>
        <v>0.73796791443850263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7100</v>
      </c>
      <c r="E16" s="403"/>
      <c r="F16" s="403"/>
      <c r="G16" s="401">
        <f>SUM(D16:F16)</f>
        <v>7100</v>
      </c>
      <c r="H16" s="423"/>
      <c r="I16" s="320">
        <f>G16+H16</f>
        <v>7100</v>
      </c>
      <c r="J16" s="426">
        <v>12000</v>
      </c>
      <c r="K16" s="408"/>
      <c r="L16" s="408"/>
      <c r="M16" s="406">
        <f>SUM(J16:L16)</f>
        <v>12000</v>
      </c>
      <c r="N16" s="425"/>
      <c r="O16" s="321">
        <f>M16+N16</f>
        <v>12000</v>
      </c>
      <c r="P16" s="424">
        <v>6000</v>
      </c>
      <c r="Q16" s="403"/>
      <c r="R16" s="403"/>
      <c r="S16" s="401">
        <f>SUM(P16:R16)</f>
        <v>6000</v>
      </c>
      <c r="T16" s="423"/>
      <c r="U16" s="320">
        <f>S16+T16</f>
        <v>6000</v>
      </c>
      <c r="V16" s="424">
        <v>11000</v>
      </c>
      <c r="W16" s="403"/>
      <c r="X16" s="403"/>
      <c r="Y16" s="401">
        <f>SUM(V16:X16)</f>
        <v>11000</v>
      </c>
      <c r="Z16" s="423"/>
      <c r="AA16" s="320">
        <f>Y16+Z16</f>
        <v>11000</v>
      </c>
      <c r="AB16" s="280">
        <f>(AA16/O16)</f>
        <v>0.91666666666666663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/>
      <c r="E17" s="413"/>
      <c r="F17" s="413"/>
      <c r="G17" s="401">
        <f>SUM(D17:F17)</f>
        <v>0</v>
      </c>
      <c r="H17" s="419"/>
      <c r="I17" s="320">
        <f>G17+H17</f>
        <v>0</v>
      </c>
      <c r="J17" s="421"/>
      <c r="K17" s="416"/>
      <c r="L17" s="416"/>
      <c r="M17" s="406">
        <f>SUM(J17:L17)</f>
        <v>0</v>
      </c>
      <c r="N17" s="420"/>
      <c r="O17" s="321">
        <f>M17+N17</f>
        <v>0</v>
      </c>
      <c r="P17" s="58"/>
      <c r="Q17" s="413"/>
      <c r="R17" s="413"/>
      <c r="S17" s="401">
        <f>SUM(P17:R17)</f>
        <v>0</v>
      </c>
      <c r="T17" s="419"/>
      <c r="U17" s="320">
        <f>S17+T17</f>
        <v>0</v>
      </c>
      <c r="V17" s="58"/>
      <c r="W17" s="413"/>
      <c r="X17" s="413"/>
      <c r="Y17" s="401">
        <f>SUM(V17:X17)</f>
        <v>0</v>
      </c>
      <c r="Z17" s="419"/>
      <c r="AA17" s="320">
        <f>Y17+Z17</f>
        <v>0</v>
      </c>
      <c r="AB17" s="280" t="e">
        <f>(AA17/O17)</f>
        <v>#DIV/0!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/>
      <c r="E18" s="60">
        <v>7858.2</v>
      </c>
      <c r="F18" s="413"/>
      <c r="G18" s="401">
        <f>SUM(D18:F18)</f>
        <v>7858.2</v>
      </c>
      <c r="H18" s="410">
        <v>0</v>
      </c>
      <c r="I18" s="320">
        <f>G18+H18</f>
        <v>7858.2</v>
      </c>
      <c r="J18" s="409"/>
      <c r="K18" s="415">
        <v>0</v>
      </c>
      <c r="L18" s="416"/>
      <c r="M18" s="406">
        <f>SUM(J18:L18)</f>
        <v>0</v>
      </c>
      <c r="N18" s="411">
        <v>0</v>
      </c>
      <c r="O18" s="321">
        <f>M18+N18</f>
        <v>0</v>
      </c>
      <c r="P18" s="404"/>
      <c r="Q18" s="60">
        <v>1046.7</v>
      </c>
      <c r="R18" s="413"/>
      <c r="S18" s="401">
        <f>SUM(P18:R18)</f>
        <v>1046.7</v>
      </c>
      <c r="T18" s="410">
        <v>0</v>
      </c>
      <c r="U18" s="320">
        <f>S18+T18</f>
        <v>1046.7</v>
      </c>
      <c r="V18" s="404"/>
      <c r="W18" s="60">
        <v>3500</v>
      </c>
      <c r="X18" s="413"/>
      <c r="Y18" s="401">
        <f>SUM(V18:X18)</f>
        <v>3500</v>
      </c>
      <c r="Z18" s="410"/>
      <c r="AA18" s="320">
        <f>Y18+Z18</f>
        <v>3500</v>
      </c>
      <c r="AB18" s="280" t="e">
        <f>(AA18/O18)</f>
        <v>#DIV/0!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/>
      <c r="E19" s="413"/>
      <c r="F19" s="60">
        <v>379.4</v>
      </c>
      <c r="G19" s="401">
        <f>SUM(D19:F19)</f>
        <v>379.4</v>
      </c>
      <c r="H19" s="410">
        <v>0</v>
      </c>
      <c r="I19" s="320">
        <f>G19+H19</f>
        <v>379.4</v>
      </c>
      <c r="J19" s="417"/>
      <c r="K19" s="416"/>
      <c r="L19" s="415">
        <v>380</v>
      </c>
      <c r="M19" s="406">
        <f>SUM(J19:L19)</f>
        <v>380</v>
      </c>
      <c r="N19" s="411">
        <v>0</v>
      </c>
      <c r="O19" s="321">
        <f>M19+N19</f>
        <v>380</v>
      </c>
      <c r="P19" s="414"/>
      <c r="Q19" s="413"/>
      <c r="R19" s="60">
        <v>189.8</v>
      </c>
      <c r="S19" s="401">
        <f>SUM(P19:R19)</f>
        <v>189.8</v>
      </c>
      <c r="T19" s="410">
        <v>0</v>
      </c>
      <c r="U19" s="320">
        <f>S19+T19</f>
        <v>189.8</v>
      </c>
      <c r="V19" s="414"/>
      <c r="W19" s="413"/>
      <c r="X19" s="60">
        <v>757</v>
      </c>
      <c r="Y19" s="401">
        <f>SUM(V19:X19)</f>
        <v>757</v>
      </c>
      <c r="Z19" s="410"/>
      <c r="AA19" s="320">
        <f>Y19+Z19</f>
        <v>757</v>
      </c>
      <c r="AB19" s="280">
        <f>(AA19/O19)</f>
        <v>1.9921052631578948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/>
      <c r="E20" s="403"/>
      <c r="F20" s="402">
        <v>0</v>
      </c>
      <c r="G20" s="401"/>
      <c r="H20" s="410">
        <v>0</v>
      </c>
      <c r="I20" s="320">
        <f>G20+H20</f>
        <v>0</v>
      </c>
      <c r="J20" s="409"/>
      <c r="K20" s="408"/>
      <c r="L20" s="407">
        <v>0</v>
      </c>
      <c r="M20" s="406">
        <f>SUM(J20:L20)</f>
        <v>0</v>
      </c>
      <c r="N20" s="411">
        <v>0</v>
      </c>
      <c r="O20" s="321">
        <f>M20+N20</f>
        <v>0</v>
      </c>
      <c r="P20" s="404"/>
      <c r="Q20" s="403"/>
      <c r="R20" s="402">
        <v>0</v>
      </c>
      <c r="S20" s="401">
        <f>SUM(P20:R20)</f>
        <v>0</v>
      </c>
      <c r="T20" s="410">
        <v>0</v>
      </c>
      <c r="U20" s="320">
        <f>S20+T20</f>
        <v>0</v>
      </c>
      <c r="V20" s="404"/>
      <c r="W20" s="403"/>
      <c r="X20" s="402">
        <v>0</v>
      </c>
      <c r="Y20" s="401">
        <f>SUM(V20:X20)</f>
        <v>0</v>
      </c>
      <c r="Z20" s="410"/>
      <c r="AA20" s="320">
        <f>Y20+Z20</f>
        <v>0</v>
      </c>
      <c r="AB20" s="280" t="e">
        <f>(AA20/O20)</f>
        <v>#DIV/0!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/>
      <c r="E21" s="403"/>
      <c r="F21" s="402">
        <v>419.2</v>
      </c>
      <c r="G21" s="401">
        <f>SUM(D21:F21)</f>
        <v>419.2</v>
      </c>
      <c r="H21" s="400">
        <v>0</v>
      </c>
      <c r="I21" s="320">
        <f>G21+H21</f>
        <v>419.2</v>
      </c>
      <c r="J21" s="409"/>
      <c r="K21" s="408"/>
      <c r="L21" s="407">
        <v>100</v>
      </c>
      <c r="M21" s="406">
        <f>SUM(J21:L21)</f>
        <v>100</v>
      </c>
      <c r="N21" s="405">
        <v>0</v>
      </c>
      <c r="O21" s="321">
        <f>M21+N21</f>
        <v>100</v>
      </c>
      <c r="P21" s="404"/>
      <c r="Q21" s="403"/>
      <c r="R21" s="402">
        <v>283.10000000000002</v>
      </c>
      <c r="S21" s="401">
        <f>SUM(P21:R21)</f>
        <v>283.10000000000002</v>
      </c>
      <c r="T21" s="400">
        <v>1.9</v>
      </c>
      <c r="U21" s="320">
        <f>S21+T21</f>
        <v>285</v>
      </c>
      <c r="V21" s="404"/>
      <c r="W21" s="403"/>
      <c r="X21" s="402">
        <v>450</v>
      </c>
      <c r="Y21" s="401">
        <f>SUM(V21:X21)</f>
        <v>450</v>
      </c>
      <c r="Z21" s="400"/>
      <c r="AA21" s="320">
        <f>Y21+Z21</f>
        <v>450</v>
      </c>
      <c r="AB21" s="280">
        <f>(AA21/O21)</f>
        <v>4.5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/>
      <c r="E22" s="403"/>
      <c r="F22" s="402">
        <v>0</v>
      </c>
      <c r="G22" s="401">
        <f>SUM(D22:F22)</f>
        <v>0</v>
      </c>
      <c r="H22" s="400">
        <v>0</v>
      </c>
      <c r="I22" s="320">
        <f>G22+H22</f>
        <v>0</v>
      </c>
      <c r="J22" s="409"/>
      <c r="K22" s="408"/>
      <c r="L22" s="407">
        <v>0</v>
      </c>
      <c r="M22" s="406">
        <f>SUM(J22:L22)</f>
        <v>0</v>
      </c>
      <c r="N22" s="405">
        <v>0</v>
      </c>
      <c r="O22" s="321">
        <f>M22+N22</f>
        <v>0</v>
      </c>
      <c r="P22" s="404"/>
      <c r="Q22" s="403"/>
      <c r="R22" s="402">
        <v>0</v>
      </c>
      <c r="S22" s="401">
        <f>SUM(P22:R22)</f>
        <v>0</v>
      </c>
      <c r="T22" s="400">
        <v>0</v>
      </c>
      <c r="U22" s="320">
        <f>S22+T22</f>
        <v>0</v>
      </c>
      <c r="V22" s="404"/>
      <c r="W22" s="403"/>
      <c r="X22" s="402">
        <v>0</v>
      </c>
      <c r="Y22" s="401">
        <f>SUM(V22:X22)</f>
        <v>0</v>
      </c>
      <c r="Z22" s="400"/>
      <c r="AA22" s="320">
        <f>Y22+Z22</f>
        <v>0</v>
      </c>
      <c r="AB22" s="280" t="e">
        <f>(AA22/O22)</f>
        <v>#DIV/0!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/>
      <c r="E23" s="391"/>
      <c r="F23" s="390">
        <v>0</v>
      </c>
      <c r="G23" s="389">
        <f>SUM(D23:F23)</f>
        <v>0</v>
      </c>
      <c r="H23" s="388">
        <v>0</v>
      </c>
      <c r="I23" s="309">
        <f>G23+H23</f>
        <v>0</v>
      </c>
      <c r="J23" s="397"/>
      <c r="K23" s="396"/>
      <c r="L23" s="395">
        <v>0</v>
      </c>
      <c r="M23" s="394">
        <f>SUM(J23:L23)</f>
        <v>0</v>
      </c>
      <c r="N23" s="393">
        <v>0</v>
      </c>
      <c r="O23" s="313">
        <f>M23+N23</f>
        <v>0</v>
      </c>
      <c r="P23" s="392"/>
      <c r="Q23" s="391"/>
      <c r="R23" s="390">
        <v>0</v>
      </c>
      <c r="S23" s="389">
        <f>SUM(P23:R23)</f>
        <v>0</v>
      </c>
      <c r="T23" s="388">
        <v>0</v>
      </c>
      <c r="U23" s="309">
        <f>S23+T23</f>
        <v>0</v>
      </c>
      <c r="V23" s="392"/>
      <c r="W23" s="391"/>
      <c r="X23" s="390">
        <v>0</v>
      </c>
      <c r="Y23" s="389">
        <f>SUM(V23:X23)</f>
        <v>0</v>
      </c>
      <c r="Z23" s="388"/>
      <c r="AA23" s="309">
        <f>Y23+Z23</f>
        <v>0</v>
      </c>
      <c r="AB23" s="308" t="e">
        <f>(AA23/O23)</f>
        <v>#DIV/0!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7100</v>
      </c>
      <c r="E24" s="381">
        <f>SUM(E15:E21)</f>
        <v>7858.2</v>
      </c>
      <c r="F24" s="381">
        <f>SUM(F15:F21)</f>
        <v>8637.8000000000011</v>
      </c>
      <c r="G24" s="380">
        <f>SUM(D24:F24)</f>
        <v>23596</v>
      </c>
      <c r="H24" s="379">
        <f>SUM(H15:H23)</f>
        <v>1159.0999999999999</v>
      </c>
      <c r="I24" s="379">
        <f>SUM(I15:I21)</f>
        <v>24755.100000000002</v>
      </c>
      <c r="J24" s="386">
        <f>SUM(J15:J21)</f>
        <v>12000</v>
      </c>
      <c r="K24" s="385">
        <f>SUM(K15:K21)</f>
        <v>0</v>
      </c>
      <c r="L24" s="385">
        <f>SUM(L15:L21)</f>
        <v>9430</v>
      </c>
      <c r="M24" s="384">
        <f>SUM(J24:L24)</f>
        <v>21430</v>
      </c>
      <c r="N24" s="383">
        <f>SUM(N15:N23)</f>
        <v>400</v>
      </c>
      <c r="O24" s="383">
        <f>SUM(O15:O21)</f>
        <v>21830</v>
      </c>
      <c r="P24" s="382">
        <f>SUM(P15:P21)</f>
        <v>6000</v>
      </c>
      <c r="Q24" s="381">
        <f>SUM(Q15:Q21)</f>
        <v>1046.7</v>
      </c>
      <c r="R24" s="381">
        <f>SUM(R15:R21)</f>
        <v>6855.0000000000009</v>
      </c>
      <c r="S24" s="380">
        <f>SUM(P24:R24)</f>
        <v>13901.7</v>
      </c>
      <c r="T24" s="379">
        <f>SUM(T15:T21)</f>
        <v>12.9</v>
      </c>
      <c r="U24" s="379">
        <f>SUM(U15:U21)</f>
        <v>13914.6</v>
      </c>
      <c r="V24" s="382">
        <f>SUM(V15:V21)</f>
        <v>11000</v>
      </c>
      <c r="W24" s="381">
        <f>SUM(W15:W21)</f>
        <v>3500</v>
      </c>
      <c r="X24" s="381">
        <f>SUM(X15:X21)</f>
        <v>7707</v>
      </c>
      <c r="Y24" s="380">
        <f>SUM(V24:X24)</f>
        <v>22207</v>
      </c>
      <c r="Z24" s="379">
        <f>SUM(Z15:Z21)</f>
        <v>400</v>
      </c>
      <c r="AA24" s="379">
        <f>SUM(AA15:AA21)</f>
        <v>22607</v>
      </c>
      <c r="AB24" s="378">
        <f>(AA24/O24)</f>
        <v>1.035593220338983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367" t="s">
        <v>112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354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339"/>
      <c r="AC27" s="4"/>
      <c r="AD27" s="4"/>
    </row>
    <row r="28" spans="1:30" x14ac:dyDescent="0.25">
      <c r="A28" s="4"/>
      <c r="B28" s="338" t="s">
        <v>19</v>
      </c>
      <c r="C28" s="337" t="s">
        <v>10</v>
      </c>
      <c r="D28" s="333">
        <v>150</v>
      </c>
      <c r="E28" s="333">
        <v>0</v>
      </c>
      <c r="F28" s="333">
        <v>123.4</v>
      </c>
      <c r="G28" s="332">
        <f>SUM(D28:F28)</f>
        <v>273.39999999999998</v>
      </c>
      <c r="H28" s="332">
        <v>0</v>
      </c>
      <c r="I28" s="331">
        <f>G28+H28</f>
        <v>273.39999999999998</v>
      </c>
      <c r="J28" s="333">
        <v>0</v>
      </c>
      <c r="K28" s="333">
        <v>0</v>
      </c>
      <c r="L28" s="333">
        <v>150</v>
      </c>
      <c r="M28" s="336">
        <f>SUM(J28:L28)</f>
        <v>150</v>
      </c>
      <c r="N28" s="336">
        <v>0</v>
      </c>
      <c r="O28" s="335">
        <f>M28+N28</f>
        <v>150</v>
      </c>
      <c r="P28" s="334">
        <v>107.8</v>
      </c>
      <c r="Q28" s="333"/>
      <c r="R28" s="333"/>
      <c r="S28" s="332">
        <f>SUM(P28:R28)</f>
        <v>107.8</v>
      </c>
      <c r="T28" s="332">
        <v>0</v>
      </c>
      <c r="U28" s="331">
        <f>S28+T28</f>
        <v>107.8</v>
      </c>
      <c r="V28" s="334">
        <v>150</v>
      </c>
      <c r="W28" s="333">
        <v>0</v>
      </c>
      <c r="X28" s="333">
        <v>100</v>
      </c>
      <c r="Y28" s="332">
        <f>SUM(V28:X28)</f>
        <v>250</v>
      </c>
      <c r="Z28" s="332">
        <v>0</v>
      </c>
      <c r="AA28" s="331">
        <f>Y28+Z28</f>
        <v>250</v>
      </c>
      <c r="AB28" s="280">
        <f>(AA28/O28)</f>
        <v>1.6666666666666667</v>
      </c>
      <c r="AC28" s="4"/>
      <c r="AD28" s="4"/>
    </row>
    <row r="29" spans="1:30" x14ac:dyDescent="0.25">
      <c r="A29" s="4"/>
      <c r="B29" s="326" t="s">
        <v>20</v>
      </c>
      <c r="C29" s="325" t="s">
        <v>12</v>
      </c>
      <c r="D29" s="323">
        <v>800</v>
      </c>
      <c r="E29" s="323">
        <v>3200</v>
      </c>
      <c r="F29" s="323">
        <v>3046.8</v>
      </c>
      <c r="G29" s="315">
        <f>SUM(D29:F29)</f>
        <v>7046.8</v>
      </c>
      <c r="H29" s="315">
        <v>369.9</v>
      </c>
      <c r="I29" s="320">
        <f>G29+H29</f>
        <v>7416.7</v>
      </c>
      <c r="J29" s="323">
        <v>2000</v>
      </c>
      <c r="K29" s="323">
        <v>0</v>
      </c>
      <c r="L29" s="323">
        <v>6447</v>
      </c>
      <c r="M29" s="322">
        <f>SUM(J29:L29)</f>
        <v>8447</v>
      </c>
      <c r="N29" s="322">
        <v>70</v>
      </c>
      <c r="O29" s="321">
        <f>M29+N29</f>
        <v>8517</v>
      </c>
      <c r="P29" s="324">
        <v>689.7</v>
      </c>
      <c r="Q29" s="323">
        <v>1000</v>
      </c>
      <c r="R29" s="323">
        <v>4500</v>
      </c>
      <c r="S29" s="315">
        <f>SUM(P29:R29)</f>
        <v>6189.7</v>
      </c>
      <c r="T29" s="315">
        <v>0</v>
      </c>
      <c r="U29" s="320">
        <f>S29+T29</f>
        <v>6189.7</v>
      </c>
      <c r="V29" s="324">
        <v>950</v>
      </c>
      <c r="W29" s="323">
        <v>1500</v>
      </c>
      <c r="X29" s="323">
        <v>6000</v>
      </c>
      <c r="Y29" s="315">
        <f>SUM(V29:X29)</f>
        <v>8450</v>
      </c>
      <c r="Z29" s="315">
        <v>70</v>
      </c>
      <c r="AA29" s="320">
        <f>Y29+Z29</f>
        <v>8520</v>
      </c>
      <c r="AB29" s="280">
        <f>(AA29/O29)</f>
        <v>1.0003522367030644</v>
      </c>
      <c r="AC29" s="4"/>
      <c r="AD29" s="4"/>
    </row>
    <row r="30" spans="1:30" x14ac:dyDescent="0.25">
      <c r="A30" s="4"/>
      <c r="B30" s="326" t="s">
        <v>22</v>
      </c>
      <c r="C30" s="325" t="s">
        <v>14</v>
      </c>
      <c r="D30" s="323">
        <v>0</v>
      </c>
      <c r="E30" s="323">
        <v>0</v>
      </c>
      <c r="F30" s="323">
        <v>105</v>
      </c>
      <c r="G30" s="315">
        <f>SUM(D30:F30)</f>
        <v>105</v>
      </c>
      <c r="H30" s="315">
        <v>0</v>
      </c>
      <c r="I30" s="320">
        <f>G30+H30</f>
        <v>105</v>
      </c>
      <c r="J30" s="323">
        <v>150</v>
      </c>
      <c r="K30" s="323">
        <v>0</v>
      </c>
      <c r="L30" s="323">
        <v>0</v>
      </c>
      <c r="M30" s="322">
        <f>SUM(J30:L30)</f>
        <v>150</v>
      </c>
      <c r="N30" s="322">
        <v>0</v>
      </c>
      <c r="O30" s="321">
        <f>M30+N30</f>
        <v>150</v>
      </c>
      <c r="P30" s="324">
        <v>0</v>
      </c>
      <c r="Q30" s="323"/>
      <c r="R30" s="323">
        <v>66</v>
      </c>
      <c r="S30" s="315">
        <f>SUM(P30:R30)</f>
        <v>66</v>
      </c>
      <c r="T30" s="315">
        <v>0</v>
      </c>
      <c r="U30" s="320">
        <f>S30+T30</f>
        <v>66</v>
      </c>
      <c r="V30" s="324">
        <v>150</v>
      </c>
      <c r="W30" s="323">
        <v>0</v>
      </c>
      <c r="X30" s="323">
        <v>0</v>
      </c>
      <c r="Y30" s="315">
        <f>SUM(V30:X30)</f>
        <v>150</v>
      </c>
      <c r="Z30" s="315">
        <v>0</v>
      </c>
      <c r="AA30" s="320">
        <f>Y30+Z30</f>
        <v>150</v>
      </c>
      <c r="AB30" s="280">
        <f>(AA30/O30)</f>
        <v>1</v>
      </c>
      <c r="AC30" s="4"/>
      <c r="AD30" s="4"/>
    </row>
    <row r="31" spans="1:30" x14ac:dyDescent="0.25">
      <c r="A31" s="4"/>
      <c r="B31" s="326"/>
      <c r="C31" s="325" t="s">
        <v>119</v>
      </c>
      <c r="D31" s="323">
        <v>0</v>
      </c>
      <c r="E31" s="323">
        <v>0</v>
      </c>
      <c r="F31" s="323">
        <v>-4191.1000000000004</v>
      </c>
      <c r="G31" s="315">
        <f>SUM(D31:F31)</f>
        <v>-4191.1000000000004</v>
      </c>
      <c r="H31" s="315">
        <v>0</v>
      </c>
      <c r="I31" s="320">
        <f>G31+H31</f>
        <v>-4191.1000000000004</v>
      </c>
      <c r="J31" s="323">
        <v>0</v>
      </c>
      <c r="K31" s="323">
        <v>0</v>
      </c>
      <c r="L31" s="323">
        <v>-3000</v>
      </c>
      <c r="M31" s="322">
        <f>SUM(J31:L31)</f>
        <v>-3000</v>
      </c>
      <c r="N31" s="322">
        <v>0</v>
      </c>
      <c r="O31" s="321">
        <f>M31+N31</f>
        <v>-3000</v>
      </c>
      <c r="P31" s="324">
        <v>0</v>
      </c>
      <c r="Q31" s="323"/>
      <c r="R31" s="323">
        <v>-4372</v>
      </c>
      <c r="S31" s="315">
        <f>SUM(P31:R31)</f>
        <v>-4372</v>
      </c>
      <c r="T31" s="315">
        <v>0</v>
      </c>
      <c r="U31" s="320">
        <f>S31+T31</f>
        <v>-4372</v>
      </c>
      <c r="V31" s="324">
        <v>0</v>
      </c>
      <c r="W31" s="323">
        <v>0</v>
      </c>
      <c r="X31" s="323">
        <v>-3000</v>
      </c>
      <c r="Y31" s="315">
        <f>SUM(V31:X31)</f>
        <v>-3000</v>
      </c>
      <c r="Z31" s="315">
        <v>0</v>
      </c>
      <c r="AA31" s="320">
        <f>Y31+Z31</f>
        <v>-3000</v>
      </c>
      <c r="AB31" s="280"/>
      <c r="AC31" s="4"/>
      <c r="AD31" s="4"/>
    </row>
    <row r="32" spans="1:30" x14ac:dyDescent="0.25">
      <c r="A32" s="4"/>
      <c r="B32" s="326" t="s">
        <v>24</v>
      </c>
      <c r="C32" s="325" t="s">
        <v>16</v>
      </c>
      <c r="D32" s="323">
        <v>1000</v>
      </c>
      <c r="E32" s="323">
        <v>4658.2</v>
      </c>
      <c r="F32" s="323">
        <v>2357.1999999999998</v>
      </c>
      <c r="G32" s="315">
        <f>SUM(D32:F32)</f>
        <v>8015.4</v>
      </c>
      <c r="H32" s="315">
        <v>374.3</v>
      </c>
      <c r="I32" s="320">
        <f>G32+H32</f>
        <v>8389.6999999999989</v>
      </c>
      <c r="J32" s="323">
        <v>1843</v>
      </c>
      <c r="K32" s="323">
        <v>0</v>
      </c>
      <c r="L32" s="323">
        <v>6430</v>
      </c>
      <c r="M32" s="322">
        <f>SUM(J32:L32)</f>
        <v>8273</v>
      </c>
      <c r="N32" s="322">
        <v>250</v>
      </c>
      <c r="O32" s="321">
        <f>M32+N32</f>
        <v>8523</v>
      </c>
      <c r="P32" s="324">
        <v>799.8</v>
      </c>
      <c r="Q32" s="323"/>
      <c r="R32" s="323">
        <v>4000</v>
      </c>
      <c r="S32" s="315">
        <f>SUM(P32:R32)</f>
        <v>4799.8</v>
      </c>
      <c r="T32" s="315">
        <v>0</v>
      </c>
      <c r="U32" s="320">
        <f>S32+T32</f>
        <v>4799.8</v>
      </c>
      <c r="V32" s="324">
        <v>1256</v>
      </c>
      <c r="W32" s="323">
        <v>2000</v>
      </c>
      <c r="X32" s="323">
        <v>5200</v>
      </c>
      <c r="Y32" s="315">
        <f>SUM(V32:X32)</f>
        <v>8456</v>
      </c>
      <c r="Z32" s="315">
        <v>250</v>
      </c>
      <c r="AA32" s="320">
        <f>Y32+Z32</f>
        <v>8706</v>
      </c>
      <c r="AB32" s="280">
        <f>(AA32/O32)</f>
        <v>1.0214713129179867</v>
      </c>
      <c r="AC32" s="4"/>
      <c r="AD32" s="4"/>
    </row>
    <row r="33" spans="1:30" x14ac:dyDescent="0.25">
      <c r="A33" s="4"/>
      <c r="B33" s="326" t="s">
        <v>26</v>
      </c>
      <c r="C33" s="325" t="s">
        <v>18</v>
      </c>
      <c r="D33" s="328">
        <v>3000</v>
      </c>
      <c r="E33" s="323">
        <v>0</v>
      </c>
      <c r="F33" s="323">
        <v>1764.4</v>
      </c>
      <c r="G33" s="315">
        <f>SUM(D33:F33)</f>
        <v>4764.3999999999996</v>
      </c>
      <c r="H33" s="315">
        <v>155.9</v>
      </c>
      <c r="I33" s="320">
        <f>G33+H33</f>
        <v>4920.2999999999993</v>
      </c>
      <c r="J33" s="323">
        <v>5100</v>
      </c>
      <c r="K33" s="323">
        <v>0</v>
      </c>
      <c r="L33" s="323">
        <v>60</v>
      </c>
      <c r="M33" s="322">
        <f>SUM(J33:L33)</f>
        <v>5160</v>
      </c>
      <c r="N33" s="322">
        <v>60</v>
      </c>
      <c r="O33" s="321">
        <f>M33+N33</f>
        <v>5220</v>
      </c>
      <c r="P33" s="324">
        <v>2383.1999999999998</v>
      </c>
      <c r="Q33" s="323"/>
      <c r="R33" s="323"/>
      <c r="S33" s="315">
        <f>SUM(P33:R33)</f>
        <v>2383.1999999999998</v>
      </c>
      <c r="T33" s="315">
        <v>12.6</v>
      </c>
      <c r="U33" s="320">
        <f>S33+T33</f>
        <v>2395.7999999999997</v>
      </c>
      <c r="V33" s="327">
        <v>5242</v>
      </c>
      <c r="W33" s="323">
        <v>0</v>
      </c>
      <c r="X33" s="323">
        <v>70</v>
      </c>
      <c r="Y33" s="315">
        <f>SUM(V33:X33)</f>
        <v>5312</v>
      </c>
      <c r="Z33" s="315">
        <v>60</v>
      </c>
      <c r="AA33" s="320">
        <f>Y33+Z33</f>
        <v>5372</v>
      </c>
      <c r="AB33" s="280">
        <f>(AA33/O33)</f>
        <v>1.0291187739463601</v>
      </c>
      <c r="AC33" s="4"/>
      <c r="AD33" s="4"/>
    </row>
    <row r="34" spans="1:30" x14ac:dyDescent="0.25">
      <c r="A34" s="4"/>
      <c r="B34" s="326" t="s">
        <v>28</v>
      </c>
      <c r="C34" s="330" t="s">
        <v>42</v>
      </c>
      <c r="D34" s="328">
        <v>3000</v>
      </c>
      <c r="E34" s="323">
        <v>0</v>
      </c>
      <c r="F34" s="323">
        <v>1576.4</v>
      </c>
      <c r="G34" s="315">
        <f>SUM(D34:F34)</f>
        <v>4576.3999999999996</v>
      </c>
      <c r="H34" s="315">
        <v>0</v>
      </c>
      <c r="I34" s="320">
        <f>G34+H34</f>
        <v>4576.3999999999996</v>
      </c>
      <c r="J34" s="323">
        <v>4900</v>
      </c>
      <c r="K34" s="323">
        <v>0</v>
      </c>
      <c r="L34" s="323">
        <v>60</v>
      </c>
      <c r="M34" s="322">
        <f>SUM(J34:L34)</f>
        <v>4960</v>
      </c>
      <c r="N34" s="322">
        <v>60</v>
      </c>
      <c r="O34" s="321">
        <f>M34+N34</f>
        <v>5020</v>
      </c>
      <c r="P34" s="324">
        <v>2310.1999999999998</v>
      </c>
      <c r="Q34" s="323"/>
      <c r="R34" s="323"/>
      <c r="S34" s="315">
        <f>SUM(P34:R34)</f>
        <v>2310.1999999999998</v>
      </c>
      <c r="T34" s="315">
        <v>12.6</v>
      </c>
      <c r="U34" s="320">
        <f>S34+T34</f>
        <v>2322.7999999999997</v>
      </c>
      <c r="V34" s="327">
        <v>5042</v>
      </c>
      <c r="W34" s="323">
        <v>0</v>
      </c>
      <c r="X34" s="323">
        <v>70</v>
      </c>
      <c r="Y34" s="315">
        <f>SUM(V34:X34)</f>
        <v>5112</v>
      </c>
      <c r="Z34" s="315">
        <v>60</v>
      </c>
      <c r="AA34" s="320">
        <f>Y34+Z34</f>
        <v>5172</v>
      </c>
      <c r="AB34" s="280">
        <f>(AA34/O34)</f>
        <v>1.0302788844621513</v>
      </c>
      <c r="AC34" s="4"/>
      <c r="AD34" s="4"/>
    </row>
    <row r="35" spans="1:30" x14ac:dyDescent="0.25">
      <c r="A35" s="4"/>
      <c r="B35" s="326" t="s">
        <v>30</v>
      </c>
      <c r="C35" s="329" t="s">
        <v>21</v>
      </c>
      <c r="D35" s="328">
        <v>0</v>
      </c>
      <c r="E35" s="323">
        <v>0</v>
      </c>
      <c r="F35" s="323">
        <v>188</v>
      </c>
      <c r="G35" s="315">
        <f>SUM(D35:F35)</f>
        <v>188</v>
      </c>
      <c r="H35" s="315">
        <v>0</v>
      </c>
      <c r="I35" s="320">
        <f>G35+H35</f>
        <v>188</v>
      </c>
      <c r="J35" s="323">
        <v>200</v>
      </c>
      <c r="K35" s="323">
        <v>0</v>
      </c>
      <c r="L35" s="323">
        <v>0</v>
      </c>
      <c r="M35" s="322">
        <f>SUM(J35:L35)</f>
        <v>200</v>
      </c>
      <c r="N35" s="322">
        <v>0</v>
      </c>
      <c r="O35" s="321">
        <f>M35+N35</f>
        <v>200</v>
      </c>
      <c r="P35" s="324">
        <v>73</v>
      </c>
      <c r="Q35" s="323"/>
      <c r="R35" s="323"/>
      <c r="S35" s="315">
        <f>SUM(P35:R35)</f>
        <v>73</v>
      </c>
      <c r="T35" s="315">
        <v>0</v>
      </c>
      <c r="U35" s="320">
        <f>S35+T35</f>
        <v>73</v>
      </c>
      <c r="V35" s="327">
        <v>200</v>
      </c>
      <c r="W35" s="323">
        <v>0</v>
      </c>
      <c r="X35" s="323">
        <v>0</v>
      </c>
      <c r="Y35" s="315">
        <f>SUM(V35:X35)</f>
        <v>200</v>
      </c>
      <c r="Z35" s="315">
        <v>0</v>
      </c>
      <c r="AA35" s="320">
        <f>Y35+Z35</f>
        <v>200</v>
      </c>
      <c r="AB35" s="280">
        <f>(AA35/O35)</f>
        <v>1</v>
      </c>
      <c r="AC35" s="4"/>
      <c r="AD35" s="4"/>
    </row>
    <row r="36" spans="1:30" x14ac:dyDescent="0.25">
      <c r="A36" s="4"/>
      <c r="B36" s="326" t="s">
        <v>32</v>
      </c>
      <c r="C36" s="325" t="s">
        <v>23</v>
      </c>
      <c r="D36" s="328">
        <v>1020</v>
      </c>
      <c r="E36" s="323">
        <v>0</v>
      </c>
      <c r="F36" s="323">
        <v>581</v>
      </c>
      <c r="G36" s="315">
        <f>SUM(D36:F36)</f>
        <v>1601</v>
      </c>
      <c r="H36" s="315">
        <v>52.7</v>
      </c>
      <c r="I36" s="320">
        <f>G36+H36</f>
        <v>1653.7</v>
      </c>
      <c r="J36" s="323">
        <v>1724</v>
      </c>
      <c r="K36" s="323">
        <v>0</v>
      </c>
      <c r="L36" s="323">
        <v>20</v>
      </c>
      <c r="M36" s="322">
        <f>SUM(J36:L36)</f>
        <v>1744</v>
      </c>
      <c r="N36" s="322">
        <v>20</v>
      </c>
      <c r="O36" s="321">
        <f>M36+N36</f>
        <v>1764</v>
      </c>
      <c r="P36" s="324">
        <v>796.5</v>
      </c>
      <c r="Q36" s="323"/>
      <c r="R36" s="323"/>
      <c r="S36" s="315">
        <f>SUM(P36:R36)</f>
        <v>796.5</v>
      </c>
      <c r="T36" s="315">
        <v>4.3</v>
      </c>
      <c r="U36" s="320">
        <f>S36+T36</f>
        <v>800.8</v>
      </c>
      <c r="V36" s="327">
        <v>1772</v>
      </c>
      <c r="W36" s="323">
        <v>0</v>
      </c>
      <c r="X36" s="323">
        <v>24</v>
      </c>
      <c r="Y36" s="315">
        <f>SUM(V36:X36)</f>
        <v>1796</v>
      </c>
      <c r="Z36" s="315">
        <v>20</v>
      </c>
      <c r="AA36" s="320">
        <f>Y36+Z36</f>
        <v>1816</v>
      </c>
      <c r="AB36" s="280">
        <f>(AA36/O36)</f>
        <v>1.0294784580498866</v>
      </c>
      <c r="AC36" s="4"/>
      <c r="AD36" s="4"/>
    </row>
    <row r="37" spans="1:30" x14ac:dyDescent="0.25">
      <c r="A37" s="4"/>
      <c r="B37" s="326" t="s">
        <v>33</v>
      </c>
      <c r="C37" s="325" t="s">
        <v>25</v>
      </c>
      <c r="D37" s="323">
        <v>15</v>
      </c>
      <c r="E37" s="323">
        <v>0</v>
      </c>
      <c r="F37" s="323">
        <v>8.3000000000000007</v>
      </c>
      <c r="G37" s="315">
        <f>SUM(D37:F37)</f>
        <v>23.3</v>
      </c>
      <c r="H37" s="315">
        <v>0</v>
      </c>
      <c r="I37" s="320">
        <f>G37+H37</f>
        <v>23.3</v>
      </c>
      <c r="J37" s="323">
        <v>15</v>
      </c>
      <c r="K37" s="323">
        <v>0</v>
      </c>
      <c r="L37" s="323">
        <v>0</v>
      </c>
      <c r="M37" s="322">
        <f>SUM(J37:L37)</f>
        <v>15</v>
      </c>
      <c r="N37" s="322">
        <v>0</v>
      </c>
      <c r="O37" s="321">
        <f>M37+N37</f>
        <v>15</v>
      </c>
      <c r="P37" s="324">
        <v>47.4</v>
      </c>
      <c r="Q37" s="323"/>
      <c r="R37" s="323"/>
      <c r="S37" s="315">
        <f>SUM(P37:R37)</f>
        <v>47.4</v>
      </c>
      <c r="T37" s="315">
        <v>0</v>
      </c>
      <c r="U37" s="320">
        <f>S37+T37</f>
        <v>47.4</v>
      </c>
      <c r="V37" s="324">
        <v>20</v>
      </c>
      <c r="W37" s="323">
        <v>0</v>
      </c>
      <c r="X37" s="323">
        <v>0</v>
      </c>
      <c r="Y37" s="315">
        <f>SUM(V37:X37)</f>
        <v>20</v>
      </c>
      <c r="Z37" s="315">
        <v>0</v>
      </c>
      <c r="AA37" s="320">
        <f>Y37+Z37</f>
        <v>20</v>
      </c>
      <c r="AB37" s="280">
        <f>(AA37/O37)</f>
        <v>1.3333333333333333</v>
      </c>
      <c r="AC37" s="4"/>
      <c r="AD37" s="4"/>
    </row>
    <row r="38" spans="1:30" x14ac:dyDescent="0.25">
      <c r="A38" s="4"/>
      <c r="B38" s="326" t="s">
        <v>34</v>
      </c>
      <c r="C38" s="325" t="s">
        <v>27</v>
      </c>
      <c r="D38" s="323">
        <v>1041.9000000000001</v>
      </c>
      <c r="E38" s="323">
        <v>0</v>
      </c>
      <c r="F38" s="323">
        <v>0</v>
      </c>
      <c r="G38" s="315">
        <f>SUM(D38:F38)</f>
        <v>1041.9000000000001</v>
      </c>
      <c r="H38" s="315">
        <v>0</v>
      </c>
      <c r="I38" s="320">
        <f>G38+H38</f>
        <v>1041.9000000000001</v>
      </c>
      <c r="J38" s="323">
        <v>1168</v>
      </c>
      <c r="K38" s="323">
        <v>0</v>
      </c>
      <c r="L38" s="323">
        <v>0</v>
      </c>
      <c r="M38" s="322">
        <f>SUM(J38:L38)</f>
        <v>1168</v>
      </c>
      <c r="N38" s="322">
        <v>0</v>
      </c>
      <c r="O38" s="321">
        <f>M38+N38</f>
        <v>1168</v>
      </c>
      <c r="P38" s="324">
        <v>665.8</v>
      </c>
      <c r="Q38" s="323"/>
      <c r="R38" s="323"/>
      <c r="S38" s="315">
        <f>SUM(P38:R38)</f>
        <v>665.8</v>
      </c>
      <c r="T38" s="315">
        <v>0</v>
      </c>
      <c r="U38" s="320">
        <f>S38+T38</f>
        <v>665.8</v>
      </c>
      <c r="V38" s="324">
        <v>1330</v>
      </c>
      <c r="W38" s="323">
        <v>0</v>
      </c>
      <c r="X38" s="323">
        <v>0</v>
      </c>
      <c r="Y38" s="315">
        <f>SUM(V38:X38)</f>
        <v>1330</v>
      </c>
      <c r="Z38" s="315">
        <v>0</v>
      </c>
      <c r="AA38" s="320">
        <f>Y38+Z38</f>
        <v>1330</v>
      </c>
      <c r="AB38" s="280">
        <f>(AA38/O38)</f>
        <v>1.1386986301369864</v>
      </c>
      <c r="AC38" s="4"/>
      <c r="AD38" s="4"/>
    </row>
    <row r="39" spans="1:30" x14ac:dyDescent="0.25">
      <c r="A39" s="4"/>
      <c r="B39" s="317"/>
      <c r="C39" s="316" t="s">
        <v>118</v>
      </c>
      <c r="D39" s="311">
        <v>0</v>
      </c>
      <c r="E39" s="311">
        <v>0</v>
      </c>
      <c r="F39" s="311">
        <v>2546.8000000000002</v>
      </c>
      <c r="G39" s="315">
        <f>SUM(D39:F39)</f>
        <v>2546.8000000000002</v>
      </c>
      <c r="H39" s="310">
        <v>0</v>
      </c>
      <c r="I39" s="319">
        <f>G39+H39</f>
        <v>2546.8000000000002</v>
      </c>
      <c r="J39" s="311">
        <v>0</v>
      </c>
      <c r="K39" s="311">
        <v>0</v>
      </c>
      <c r="L39" s="311">
        <v>-2000</v>
      </c>
      <c r="M39" s="322">
        <f>SUM(J39:L39)</f>
        <v>-2000</v>
      </c>
      <c r="N39" s="314">
        <v>0</v>
      </c>
      <c r="O39" s="321">
        <f>M39+N39</f>
        <v>-2000</v>
      </c>
      <c r="P39" s="312"/>
      <c r="Q39" s="311"/>
      <c r="R39" s="311"/>
      <c r="S39" s="315">
        <f>SUM(P39:R39)</f>
        <v>0</v>
      </c>
      <c r="T39" s="310">
        <v>0</v>
      </c>
      <c r="U39" s="320">
        <f>S39+T39</f>
        <v>0</v>
      </c>
      <c r="V39" s="312">
        <v>0</v>
      </c>
      <c r="W39" s="311">
        <v>0</v>
      </c>
      <c r="X39" s="311">
        <v>-3000</v>
      </c>
      <c r="Y39" s="310">
        <f>SUM(V39:X39)</f>
        <v>-3000</v>
      </c>
      <c r="Z39" s="310">
        <v>0</v>
      </c>
      <c r="AA39" s="319">
        <f>Y39+Z39</f>
        <v>-3000</v>
      </c>
      <c r="AB39" s="318">
        <f>(AA39/O39)</f>
        <v>1.5</v>
      </c>
      <c r="AC39" s="4"/>
      <c r="AD39" s="4"/>
    </row>
    <row r="40" spans="1:30" ht="15.75" thickBot="1" x14ac:dyDescent="0.3">
      <c r="A40" s="4"/>
      <c r="B40" s="317" t="s">
        <v>35</v>
      </c>
      <c r="C40" s="316" t="s">
        <v>29</v>
      </c>
      <c r="D40" s="311">
        <v>73.099999999999994</v>
      </c>
      <c r="E40" s="311">
        <v>0</v>
      </c>
      <c r="F40" s="311">
        <v>1852.8</v>
      </c>
      <c r="G40" s="315">
        <f>SUM(D40:F40)</f>
        <v>1925.8999999999999</v>
      </c>
      <c r="H40" s="310">
        <v>0</v>
      </c>
      <c r="I40" s="309">
        <f>G40+H40</f>
        <v>1925.8999999999999</v>
      </c>
      <c r="J40" s="311">
        <v>0</v>
      </c>
      <c r="K40" s="311">
        <v>0</v>
      </c>
      <c r="L40" s="311">
        <v>1323</v>
      </c>
      <c r="M40" s="314">
        <f>SUM(J40:L40)</f>
        <v>1323</v>
      </c>
      <c r="N40" s="314">
        <v>0</v>
      </c>
      <c r="O40" s="313">
        <f>M40+N40</f>
        <v>1323</v>
      </c>
      <c r="P40" s="312">
        <v>509.8</v>
      </c>
      <c r="Q40" s="311"/>
      <c r="R40" s="311">
        <v>528.6</v>
      </c>
      <c r="S40" s="310">
        <f>SUM(P40:R40)</f>
        <v>1038.4000000000001</v>
      </c>
      <c r="T40" s="310">
        <v>1.8</v>
      </c>
      <c r="U40" s="309">
        <f>S40+T40</f>
        <v>1040.2</v>
      </c>
      <c r="V40" s="312">
        <v>130</v>
      </c>
      <c r="W40" s="311">
        <v>0</v>
      </c>
      <c r="X40" s="311">
        <v>2313</v>
      </c>
      <c r="Y40" s="310">
        <f>SUM(V40:X40)</f>
        <v>2443</v>
      </c>
      <c r="Z40" s="310">
        <v>0</v>
      </c>
      <c r="AA40" s="309">
        <f>Y40+Z40</f>
        <v>2443</v>
      </c>
      <c r="AB40" s="308">
        <f>(AA40/O40)</f>
        <v>1.8465608465608465</v>
      </c>
      <c r="AC40" s="4"/>
      <c r="AD40" s="4"/>
    </row>
    <row r="41" spans="1:30" ht="15.75" thickBot="1" x14ac:dyDescent="0.3">
      <c r="A41" s="4"/>
      <c r="B41" s="307" t="s">
        <v>48</v>
      </c>
      <c r="C41" s="306" t="s">
        <v>31</v>
      </c>
      <c r="D41" s="301">
        <f>SUM(D36:D40)+SUM(D28:D33)</f>
        <v>7100</v>
      </c>
      <c r="E41" s="301">
        <f>SUM(E36:E40)+SUM(E28:E33)</f>
        <v>7858.2</v>
      </c>
      <c r="F41" s="301">
        <f>SUM(F36:F40)+SUM(F28:F33)</f>
        <v>8194.6</v>
      </c>
      <c r="G41" s="300">
        <f>SUM(D41:F41)</f>
        <v>23152.800000000003</v>
      </c>
      <c r="H41" s="299">
        <f>SUM(H28:H33)+SUM(H36:H40)</f>
        <v>952.80000000000007</v>
      </c>
      <c r="I41" s="298">
        <f>SUM(I36:I40)+SUM(I28:I33)</f>
        <v>24105.599999999999</v>
      </c>
      <c r="J41" s="305">
        <f>SUM(J36:J40)+SUM(J28:J33)</f>
        <v>12000</v>
      </c>
      <c r="K41" s="305">
        <f>SUM(K36:K40)+SUM(K28:K33)</f>
        <v>0</v>
      </c>
      <c r="L41" s="305">
        <f>SUM(L36:L40)+SUM(L28:L33)</f>
        <v>9430</v>
      </c>
      <c r="M41" s="304">
        <f>SUM(J41:L41)</f>
        <v>21430</v>
      </c>
      <c r="N41" s="303">
        <f>SUM(N28:N33)+SUM(N36:N40)</f>
        <v>400</v>
      </c>
      <c r="O41" s="302">
        <f>SUM(O36:O40)+SUM(O28:O33)</f>
        <v>21830</v>
      </c>
      <c r="P41" s="301">
        <f>SUM(P36:P40)+SUM(P28:P33)</f>
        <v>6000</v>
      </c>
      <c r="Q41" s="301">
        <f>SUM(Q36:Q40)+SUM(Q28:Q33)</f>
        <v>1000</v>
      </c>
      <c r="R41" s="301">
        <f>SUM(R36:R40)+SUM(R28:R33)</f>
        <v>4722.6000000000004</v>
      </c>
      <c r="S41" s="300">
        <f>SUM(P41:R41)</f>
        <v>11722.6</v>
      </c>
      <c r="T41" s="299">
        <f>SUM(T28:T33)+SUM(T36:T40)</f>
        <v>18.7</v>
      </c>
      <c r="U41" s="298">
        <f>SUM(U36:U40)+SUM(U28:U33)</f>
        <v>11741.3</v>
      </c>
      <c r="V41" s="301">
        <f>SUM(V36:V40)+SUM(V28:V33)</f>
        <v>11000</v>
      </c>
      <c r="W41" s="301">
        <f>SUM(W36:W40)+SUM(W28:W33)</f>
        <v>3500</v>
      </c>
      <c r="X41" s="301">
        <f>SUM(X36:X40)+SUM(X28:X33)</f>
        <v>7707</v>
      </c>
      <c r="Y41" s="300">
        <f>SUM(V41:X41)</f>
        <v>22207</v>
      </c>
      <c r="Z41" s="299">
        <f>SUM(Z28:Z33)+SUM(Z36:Z40)</f>
        <v>400</v>
      </c>
      <c r="AA41" s="298">
        <f>SUM(AA36:AA40)+SUM(AA28:AA33)</f>
        <v>22607</v>
      </c>
      <c r="AB41" s="297">
        <f>(AA41/O41)</f>
        <v>1.035593220338983</v>
      </c>
      <c r="AC41" s="4"/>
      <c r="AD41" s="4"/>
    </row>
    <row r="42" spans="1:30" ht="19.5" thickBot="1" x14ac:dyDescent="0.35">
      <c r="A42" s="4"/>
      <c r="B42" s="296" t="s">
        <v>49</v>
      </c>
      <c r="C42" s="295" t="s">
        <v>51</v>
      </c>
      <c r="D42" s="292">
        <f>D24-D41</f>
        <v>0</v>
      </c>
      <c r="E42" s="292">
        <f>E24-E41</f>
        <v>0</v>
      </c>
      <c r="F42" s="292">
        <f>F24-F41</f>
        <v>443.20000000000073</v>
      </c>
      <c r="G42" s="291">
        <f>G24-G41</f>
        <v>443.19999999999709</v>
      </c>
      <c r="H42" s="291">
        <f>H24-H41</f>
        <v>206.29999999999984</v>
      </c>
      <c r="I42" s="290">
        <f>I24-I41</f>
        <v>649.50000000000364</v>
      </c>
      <c r="J42" s="292">
        <f>J24-J41</f>
        <v>0</v>
      </c>
      <c r="K42" s="292">
        <f>K24-K41</f>
        <v>0</v>
      </c>
      <c r="L42" s="292">
        <f>L24-L41</f>
        <v>0</v>
      </c>
      <c r="M42" s="294">
        <f>M24-M41</f>
        <v>0</v>
      </c>
      <c r="N42" s="294">
        <f>N24-N41</f>
        <v>0</v>
      </c>
      <c r="O42" s="293">
        <f>O24-O41</f>
        <v>0</v>
      </c>
      <c r="P42" s="292">
        <f>P24-P41</f>
        <v>0</v>
      </c>
      <c r="Q42" s="292">
        <f>Q24-Q41</f>
        <v>46.700000000000045</v>
      </c>
      <c r="R42" s="292">
        <f>R24-R41</f>
        <v>2132.4000000000005</v>
      </c>
      <c r="S42" s="291">
        <f>S24-S41</f>
        <v>2179.1000000000004</v>
      </c>
      <c r="T42" s="291">
        <f>T24-T41</f>
        <v>-5.7999999999999989</v>
      </c>
      <c r="U42" s="290">
        <f>U24-U41</f>
        <v>2173.3000000000011</v>
      </c>
      <c r="V42" s="292">
        <f>V24-V41</f>
        <v>0</v>
      </c>
      <c r="W42" s="292">
        <f>W24-W41</f>
        <v>0</v>
      </c>
      <c r="X42" s="292">
        <f>X24-X41</f>
        <v>0</v>
      </c>
      <c r="Y42" s="291">
        <f>Y24-Y41</f>
        <v>0</v>
      </c>
      <c r="Z42" s="291">
        <f>Z24-Z41</f>
        <v>0</v>
      </c>
      <c r="AA42" s="290">
        <f>AA24-AA41</f>
        <v>0</v>
      </c>
      <c r="AB42" s="289" t="e">
        <f>(AA42/O42)</f>
        <v>#DIV/0!</v>
      </c>
      <c r="AC42" s="4"/>
      <c r="AD42" s="4"/>
    </row>
    <row r="43" spans="1:30" ht="15.75" thickBot="1" x14ac:dyDescent="0.3">
      <c r="A43" s="4"/>
      <c r="B43" s="288" t="s">
        <v>50</v>
      </c>
      <c r="C43" s="287" t="s">
        <v>65</v>
      </c>
      <c r="D43" s="285"/>
      <c r="E43" s="284"/>
      <c r="F43" s="284"/>
      <c r="G43" s="283"/>
      <c r="H43" s="286"/>
      <c r="I43" s="281">
        <f>I42-D16</f>
        <v>-6450.4999999999964</v>
      </c>
      <c r="J43" s="285"/>
      <c r="K43" s="284"/>
      <c r="L43" s="284"/>
      <c r="M43" s="283"/>
      <c r="N43" s="282"/>
      <c r="O43" s="281">
        <f>O42-J16</f>
        <v>-12000</v>
      </c>
      <c r="P43" s="285"/>
      <c r="Q43" s="284"/>
      <c r="R43" s="284"/>
      <c r="S43" s="283"/>
      <c r="T43" s="282"/>
      <c r="U43" s="281">
        <f>U42-P16</f>
        <v>-3826.6999999999989</v>
      </c>
      <c r="V43" s="285"/>
      <c r="W43" s="284"/>
      <c r="X43" s="284"/>
      <c r="Y43" s="283"/>
      <c r="Z43" s="282"/>
      <c r="AA43" s="281">
        <f>AA42-V16</f>
        <v>-11000</v>
      </c>
      <c r="AB43" s="280">
        <f>(AA43/O43)</f>
        <v>0.91666666666666663</v>
      </c>
      <c r="AC43" s="4"/>
      <c r="AD43" s="4"/>
    </row>
    <row r="44" spans="1:30" ht="8.25" customHeight="1" thickBot="1" x14ac:dyDescent="0.3">
      <c r="A44" s="4"/>
      <c r="B44" s="272"/>
      <c r="C44" s="164"/>
      <c r="D44" s="279"/>
      <c r="E44" s="256"/>
      <c r="F44" s="256"/>
      <c r="G44" s="4"/>
      <c r="H44" s="256"/>
      <c r="I44" s="256"/>
      <c r="J44" s="279"/>
      <c r="K44" s="256"/>
      <c r="L44" s="256"/>
      <c r="M44" s="4"/>
      <c r="N44" s="256"/>
      <c r="O44" s="256"/>
      <c r="P44" s="256"/>
      <c r="Q44" s="256"/>
      <c r="R44" s="256"/>
      <c r="S44" s="256"/>
      <c r="T44" s="256"/>
      <c r="U44" s="256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thickBot="1" x14ac:dyDescent="0.3">
      <c r="A45" s="4"/>
      <c r="B45" s="272"/>
      <c r="C45" s="271" t="s">
        <v>82</v>
      </c>
      <c r="D45" s="106" t="s">
        <v>41</v>
      </c>
      <c r="E45" s="278" t="s">
        <v>83</v>
      </c>
      <c r="F45" s="277" t="s">
        <v>36</v>
      </c>
      <c r="G45" s="256"/>
      <c r="H45" s="256"/>
      <c r="I45" s="255"/>
      <c r="J45" s="106" t="s">
        <v>41</v>
      </c>
      <c r="K45" s="278" t="s">
        <v>83</v>
      </c>
      <c r="L45" s="277" t="s">
        <v>36</v>
      </c>
      <c r="M45" s="256"/>
      <c r="N45" s="256"/>
      <c r="O45" s="256"/>
      <c r="P45" s="106" t="s">
        <v>41</v>
      </c>
      <c r="Q45" s="278" t="s">
        <v>83</v>
      </c>
      <c r="R45" s="277" t="s">
        <v>36</v>
      </c>
      <c r="S45" s="4"/>
      <c r="T45" s="4"/>
      <c r="U45" s="4"/>
      <c r="V45" s="106" t="s">
        <v>41</v>
      </c>
      <c r="W45" s="278" t="s">
        <v>83</v>
      </c>
      <c r="X45" s="277" t="s">
        <v>36</v>
      </c>
      <c r="Y45" s="4"/>
      <c r="Z45" s="4"/>
      <c r="AA45" s="4"/>
      <c r="AB45" s="4"/>
      <c r="AC45" s="4"/>
      <c r="AD45" s="4"/>
    </row>
    <row r="46" spans="1:30" ht="15.75" thickBot="1" x14ac:dyDescent="0.3">
      <c r="A46" s="4"/>
      <c r="B46" s="272"/>
      <c r="C46" s="276"/>
      <c r="D46" s="266"/>
      <c r="E46" s="275"/>
      <c r="F46" s="274">
        <v>0</v>
      </c>
      <c r="G46" s="256"/>
      <c r="H46" s="256"/>
      <c r="I46" s="255"/>
      <c r="J46" s="266"/>
      <c r="K46" s="275"/>
      <c r="L46" s="274">
        <v>0</v>
      </c>
      <c r="M46" s="273"/>
      <c r="N46" s="273"/>
      <c r="O46" s="273"/>
      <c r="P46" s="266"/>
      <c r="Q46" s="275"/>
      <c r="R46" s="274">
        <v>0</v>
      </c>
      <c r="S46" s="4"/>
      <c r="T46" s="4"/>
      <c r="U46" s="4"/>
      <c r="V46" s="266"/>
      <c r="W46" s="275"/>
      <c r="X46" s="274">
        <v>0</v>
      </c>
      <c r="Y46" s="4"/>
      <c r="Z46" s="4"/>
      <c r="AA46" s="4"/>
      <c r="AB46" s="4"/>
      <c r="AC46" s="4"/>
      <c r="AD46" s="4"/>
    </row>
    <row r="47" spans="1:30" ht="8.25" customHeight="1" thickBot="1" x14ac:dyDescent="0.3">
      <c r="A47" s="4"/>
      <c r="B47" s="272"/>
      <c r="C47" s="164"/>
      <c r="D47" s="273"/>
      <c r="E47" s="256"/>
      <c r="F47" s="256"/>
      <c r="G47" s="256"/>
      <c r="H47" s="256"/>
      <c r="I47" s="255"/>
      <c r="J47" s="256"/>
      <c r="K47" s="256"/>
      <c r="L47" s="256"/>
      <c r="M47" s="256"/>
      <c r="N47" s="256"/>
      <c r="O47" s="255"/>
      <c r="P47" s="255"/>
      <c r="Q47" s="255"/>
      <c r="R47" s="255"/>
      <c r="S47" s="255"/>
      <c r="T47" s="255"/>
      <c r="U47" s="255"/>
      <c r="V47" s="4"/>
      <c r="W47" s="4"/>
      <c r="X47" s="4"/>
      <c r="Y47" s="4"/>
      <c r="Z47" s="4"/>
      <c r="AA47" s="4"/>
      <c r="AB47" s="4"/>
      <c r="AC47" s="4"/>
      <c r="AD47" s="4"/>
    </row>
    <row r="48" spans="1:30" ht="37.5" customHeight="1" thickBot="1" x14ac:dyDescent="0.3">
      <c r="A48" s="4"/>
      <c r="B48" s="272"/>
      <c r="C48" s="271" t="s">
        <v>85</v>
      </c>
      <c r="D48" s="95" t="s">
        <v>86</v>
      </c>
      <c r="E48" s="269" t="s">
        <v>84</v>
      </c>
      <c r="F48" s="256"/>
      <c r="G48" s="256"/>
      <c r="H48" s="256"/>
      <c r="I48" s="255"/>
      <c r="J48" s="95" t="s">
        <v>86</v>
      </c>
      <c r="K48" s="269" t="s">
        <v>84</v>
      </c>
      <c r="L48" s="270"/>
      <c r="M48" s="270"/>
      <c r="N48" s="4"/>
      <c r="O48" s="4"/>
      <c r="P48" s="95" t="s">
        <v>86</v>
      </c>
      <c r="Q48" s="269" t="s">
        <v>84</v>
      </c>
      <c r="R48" s="4"/>
      <c r="S48" s="4"/>
      <c r="T48" s="4"/>
      <c r="U48" s="4"/>
      <c r="V48" s="95" t="s">
        <v>86</v>
      </c>
      <c r="W48" s="269" t="s">
        <v>84</v>
      </c>
      <c r="X48" s="4"/>
      <c r="Y48" s="4"/>
      <c r="Z48" s="4"/>
      <c r="AA48" s="4"/>
      <c r="AB48" s="4"/>
      <c r="AC48" s="4"/>
      <c r="AD48" s="4"/>
    </row>
    <row r="49" spans="1:30" ht="15.75" thickBot="1" x14ac:dyDescent="0.3">
      <c r="A49" s="4"/>
      <c r="B49" s="257"/>
      <c r="C49" s="268"/>
      <c r="D49" s="266">
        <v>0</v>
      </c>
      <c r="E49" s="265">
        <v>0</v>
      </c>
      <c r="F49" s="256"/>
      <c r="G49" s="256"/>
      <c r="H49" s="256"/>
      <c r="I49" s="255"/>
      <c r="J49" s="266">
        <v>0</v>
      </c>
      <c r="K49" s="265">
        <v>0</v>
      </c>
      <c r="L49" s="267"/>
      <c r="M49" s="267"/>
      <c r="N49" s="4"/>
      <c r="O49" s="4"/>
      <c r="P49" s="266">
        <v>0</v>
      </c>
      <c r="Q49" s="265">
        <v>0</v>
      </c>
      <c r="R49" s="4"/>
      <c r="S49" s="4"/>
      <c r="T49" s="4"/>
      <c r="U49" s="4"/>
      <c r="V49" s="266">
        <v>0</v>
      </c>
      <c r="W49" s="265">
        <v>0</v>
      </c>
      <c r="X49" s="4"/>
      <c r="Y49" s="4"/>
      <c r="Z49" s="4"/>
      <c r="AA49" s="4"/>
      <c r="AB49" s="4"/>
      <c r="AC49" s="4"/>
      <c r="AD49" s="4"/>
    </row>
    <row r="50" spans="1:30" x14ac:dyDescent="0.25">
      <c r="A50" s="4"/>
      <c r="B50" s="257"/>
      <c r="C50" s="164"/>
      <c r="D50" s="256"/>
      <c r="E50" s="256"/>
      <c r="F50" s="256"/>
      <c r="G50" s="256"/>
      <c r="H50" s="256"/>
      <c r="I50" s="255"/>
      <c r="J50" s="256"/>
      <c r="K50" s="256"/>
      <c r="L50" s="256"/>
      <c r="M50" s="256"/>
      <c r="N50" s="256"/>
      <c r="O50" s="255"/>
      <c r="P50" s="255"/>
      <c r="Q50" s="255"/>
      <c r="R50" s="255"/>
      <c r="S50" s="255"/>
      <c r="T50" s="255"/>
      <c r="U50" s="255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4"/>
      <c r="B51" s="257"/>
      <c r="C51" s="261" t="s">
        <v>81</v>
      </c>
      <c r="D51" s="260" t="s">
        <v>72</v>
      </c>
      <c r="E51" s="260" t="s">
        <v>73</v>
      </c>
      <c r="F51" s="260" t="s">
        <v>91</v>
      </c>
      <c r="G51" s="260" t="s">
        <v>93</v>
      </c>
      <c r="H51" s="256"/>
      <c r="I51" s="4"/>
      <c r="J51" s="260" t="s">
        <v>72</v>
      </c>
      <c r="K51" s="260" t="s">
        <v>73</v>
      </c>
      <c r="L51" s="260" t="s">
        <v>91</v>
      </c>
      <c r="M51" s="260" t="s">
        <v>94</v>
      </c>
      <c r="N51" s="4"/>
      <c r="O51" s="4"/>
      <c r="P51" s="260" t="s">
        <v>72</v>
      </c>
      <c r="Q51" s="260" t="s">
        <v>73</v>
      </c>
      <c r="R51" s="260" t="s">
        <v>91</v>
      </c>
      <c r="S51" s="260" t="s">
        <v>94</v>
      </c>
      <c r="T51" s="4"/>
      <c r="U51" s="4"/>
      <c r="V51" s="260" t="s">
        <v>95</v>
      </c>
      <c r="W51" s="260" t="s">
        <v>73</v>
      </c>
      <c r="X51" s="260" t="s">
        <v>91</v>
      </c>
      <c r="Y51" s="260" t="s">
        <v>94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259" t="s">
        <v>117</v>
      </c>
      <c r="D52" s="263"/>
      <c r="E52" s="263"/>
      <c r="F52" s="263"/>
      <c r="G52" s="262">
        <f>D52+E52-F52</f>
        <v>0</v>
      </c>
      <c r="H52" s="256"/>
      <c r="I52" s="4"/>
      <c r="J52" s="262"/>
      <c r="K52" s="263"/>
      <c r="L52" s="263"/>
      <c r="M52" s="262">
        <f>J52+K52-L52</f>
        <v>0</v>
      </c>
      <c r="N52" s="4"/>
      <c r="O52" s="4"/>
      <c r="P52" s="263"/>
      <c r="Q52" s="263"/>
      <c r="R52" s="263"/>
      <c r="S52" s="262">
        <f>P52+Q52-R52</f>
        <v>0</v>
      </c>
      <c r="T52" s="4"/>
      <c r="U52" s="4"/>
      <c r="V52" s="263"/>
      <c r="W52" s="263"/>
      <c r="X52" s="263"/>
      <c r="Y52" s="262">
        <f>V52+W52-X52</f>
        <v>0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259" t="s">
        <v>70</v>
      </c>
      <c r="D53" s="263">
        <v>4483</v>
      </c>
      <c r="E53" s="263">
        <v>240.5</v>
      </c>
      <c r="F53" s="263">
        <v>0</v>
      </c>
      <c r="G53" s="262">
        <f>D53+E53-F53</f>
        <v>4723.5</v>
      </c>
      <c r="H53" s="256"/>
      <c r="I53" s="4"/>
      <c r="J53" s="262">
        <v>4723.5</v>
      </c>
      <c r="K53" s="263">
        <v>647.1</v>
      </c>
      <c r="L53" s="263">
        <v>1600</v>
      </c>
      <c r="M53" s="262">
        <f>J53+K53-L53</f>
        <v>3770.6000000000004</v>
      </c>
      <c r="N53" s="4"/>
      <c r="O53" s="4"/>
      <c r="P53" s="262">
        <v>4723.5</v>
      </c>
      <c r="Q53" s="263">
        <v>647.1</v>
      </c>
      <c r="R53" s="263">
        <v>1600</v>
      </c>
      <c r="S53" s="262">
        <f>P53+Q53-R53</f>
        <v>3770.6000000000004</v>
      </c>
      <c r="T53" s="4"/>
      <c r="U53" s="4"/>
      <c r="V53" s="263">
        <v>3770.6</v>
      </c>
      <c r="W53" s="263">
        <v>0</v>
      </c>
      <c r="X53" s="263">
        <v>0</v>
      </c>
      <c r="Y53" s="262">
        <f>V53+W53-X53</f>
        <v>3770.6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59" t="s">
        <v>71</v>
      </c>
      <c r="D54" s="263">
        <v>3676.4</v>
      </c>
      <c r="E54" s="263">
        <v>1539.2</v>
      </c>
      <c r="F54" s="263">
        <v>958.7</v>
      </c>
      <c r="G54" s="262">
        <f>D54+E54-F54</f>
        <v>4256.9000000000005</v>
      </c>
      <c r="H54" s="256"/>
      <c r="I54" s="4"/>
      <c r="J54" s="262">
        <v>4256.8999999999996</v>
      </c>
      <c r="K54" s="263">
        <v>4894</v>
      </c>
      <c r="L54" s="263">
        <v>6404.1</v>
      </c>
      <c r="M54" s="262">
        <f>J54+K54-L54</f>
        <v>2746.7999999999993</v>
      </c>
      <c r="N54" s="4"/>
      <c r="O54" s="4"/>
      <c r="P54" s="262">
        <v>4256.8999999999996</v>
      </c>
      <c r="Q54" s="263">
        <v>4894</v>
      </c>
      <c r="R54" s="263">
        <v>6404.1</v>
      </c>
      <c r="S54" s="262">
        <f>P54+Q54-R54</f>
        <v>2746.7999999999993</v>
      </c>
      <c r="T54" s="4"/>
      <c r="U54" s="4"/>
      <c r="V54" s="263">
        <v>2746.8</v>
      </c>
      <c r="W54" s="263">
        <v>1330</v>
      </c>
      <c r="X54" s="263">
        <v>1350</v>
      </c>
      <c r="Y54" s="262">
        <f>V54+W54-X54</f>
        <v>2726.8</v>
      </c>
      <c r="Z54" s="4"/>
      <c r="AA54" s="4"/>
      <c r="AB54" s="4"/>
      <c r="AC54" s="4"/>
      <c r="AD54" s="4"/>
    </row>
    <row r="55" spans="1:30" x14ac:dyDescent="0.25">
      <c r="A55" s="4"/>
      <c r="B55" s="257"/>
      <c r="C55" s="259" t="s">
        <v>88</v>
      </c>
      <c r="D55" s="263">
        <v>1409.5</v>
      </c>
      <c r="E55" s="263">
        <v>0</v>
      </c>
      <c r="F55" s="263">
        <v>0</v>
      </c>
      <c r="G55" s="262">
        <f>D55+E55-F55</f>
        <v>1409.5</v>
      </c>
      <c r="H55" s="256"/>
      <c r="I55" s="4"/>
      <c r="J55" s="262">
        <v>1409.5</v>
      </c>
      <c r="K55" s="263">
        <v>0</v>
      </c>
      <c r="L55" s="263">
        <v>0</v>
      </c>
      <c r="M55" s="262">
        <f>J55+K55-L55</f>
        <v>1409.5</v>
      </c>
      <c r="N55" s="4"/>
      <c r="O55" s="4"/>
      <c r="P55" s="262">
        <v>1409.5</v>
      </c>
      <c r="Q55" s="263">
        <v>0</v>
      </c>
      <c r="R55" s="263">
        <v>0</v>
      </c>
      <c r="S55" s="262">
        <f>P55+Q55-R55</f>
        <v>1409.5</v>
      </c>
      <c r="T55" s="4"/>
      <c r="U55" s="4"/>
      <c r="V55" s="263">
        <v>1409.5</v>
      </c>
      <c r="W55" s="263">
        <v>0</v>
      </c>
      <c r="X55" s="263">
        <v>0</v>
      </c>
      <c r="Y55" s="262">
        <f>V55+W55-X55</f>
        <v>1409.5</v>
      </c>
      <c r="Z55" s="4"/>
      <c r="AA55" s="4"/>
      <c r="AB55" s="4"/>
      <c r="AC55" s="4"/>
      <c r="AD55" s="4"/>
    </row>
    <row r="56" spans="1:30" x14ac:dyDescent="0.25">
      <c r="A56" s="4"/>
      <c r="B56" s="257"/>
      <c r="C56" s="264" t="s">
        <v>89</v>
      </c>
      <c r="D56" s="263">
        <v>126.2</v>
      </c>
      <c r="E56" s="263">
        <v>94.6</v>
      </c>
      <c r="F56" s="263">
        <v>114</v>
      </c>
      <c r="G56" s="262">
        <f>D56+E56-F56</f>
        <v>106.80000000000001</v>
      </c>
      <c r="H56" s="256"/>
      <c r="I56" s="4"/>
      <c r="J56" s="262">
        <v>106.8</v>
      </c>
      <c r="K56" s="263">
        <v>47.3</v>
      </c>
      <c r="L56" s="263">
        <v>85</v>
      </c>
      <c r="M56" s="262">
        <f>J56+K56-L56</f>
        <v>69.099999999999994</v>
      </c>
      <c r="N56" s="4"/>
      <c r="O56" s="4"/>
      <c r="P56" s="262">
        <v>106.8</v>
      </c>
      <c r="Q56" s="263">
        <v>47.3</v>
      </c>
      <c r="R56" s="263">
        <v>85</v>
      </c>
      <c r="S56" s="262">
        <f>P56+Q56-R56</f>
        <v>69.099999999999994</v>
      </c>
      <c r="T56" s="4"/>
      <c r="U56" s="4"/>
      <c r="V56" s="263">
        <v>69.099999999999994</v>
      </c>
      <c r="W56" s="263">
        <v>54.6</v>
      </c>
      <c r="X56" s="263">
        <v>60</v>
      </c>
      <c r="Y56" s="262">
        <f>V56+W56-X56</f>
        <v>63.699999999999989</v>
      </c>
      <c r="Z56" s="4"/>
      <c r="AA56" s="4"/>
      <c r="AB56" s="4"/>
      <c r="AC56" s="4"/>
      <c r="AD56" s="4"/>
    </row>
    <row r="57" spans="1:30" ht="10.5" customHeight="1" x14ac:dyDescent="0.25">
      <c r="A57" s="4"/>
      <c r="B57" s="257"/>
      <c r="C57" s="164"/>
      <c r="D57" s="256"/>
      <c r="E57" s="256"/>
      <c r="F57" s="256"/>
      <c r="G57" s="256"/>
      <c r="H57" s="25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261" t="s">
        <v>74</v>
      </c>
      <c r="D58" s="260" t="s">
        <v>75</v>
      </c>
      <c r="E58" s="260" t="s">
        <v>96</v>
      </c>
      <c r="F58" s="256"/>
      <c r="G58" s="256"/>
      <c r="H58" s="256"/>
      <c r="I58" s="255"/>
      <c r="J58" s="260" t="s">
        <v>97</v>
      </c>
      <c r="K58" s="256"/>
      <c r="L58" s="256"/>
      <c r="M58" s="256"/>
      <c r="N58" s="256"/>
      <c r="O58" s="255"/>
      <c r="P58" s="260" t="s">
        <v>98</v>
      </c>
      <c r="Q58" s="255"/>
      <c r="R58" s="255"/>
      <c r="S58" s="255"/>
      <c r="T58" s="255"/>
      <c r="U58" s="255"/>
      <c r="V58" s="260" t="s">
        <v>97</v>
      </c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7"/>
      <c r="C59" s="259"/>
      <c r="D59" s="258">
        <v>8</v>
      </c>
      <c r="E59" s="258">
        <v>8</v>
      </c>
      <c r="F59" s="256"/>
      <c r="G59" s="256"/>
      <c r="H59" s="256"/>
      <c r="I59" s="255"/>
      <c r="J59" s="258">
        <v>9</v>
      </c>
      <c r="K59" s="256"/>
      <c r="L59" s="256"/>
      <c r="M59" s="256"/>
      <c r="N59" s="256"/>
      <c r="O59" s="255"/>
      <c r="P59" s="258">
        <v>8.5</v>
      </c>
      <c r="Q59" s="255"/>
      <c r="R59" s="255"/>
      <c r="S59" s="255"/>
      <c r="T59" s="255"/>
      <c r="U59" s="255"/>
      <c r="V59" s="258">
        <v>9</v>
      </c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4"/>
      <c r="B60" s="257"/>
      <c r="C60" s="164"/>
      <c r="D60" s="256"/>
      <c r="E60" s="256"/>
      <c r="F60" s="256"/>
      <c r="G60" s="256"/>
      <c r="H60" s="256"/>
      <c r="I60" s="255"/>
      <c r="J60" s="256"/>
      <c r="K60" s="256"/>
      <c r="L60" s="256"/>
      <c r="M60" s="256"/>
      <c r="N60" s="256"/>
      <c r="O60" s="255"/>
      <c r="P60" s="255"/>
      <c r="Q60" s="255"/>
      <c r="R60" s="255"/>
      <c r="S60" s="255"/>
      <c r="T60" s="255"/>
      <c r="U60" s="255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4"/>
      <c r="B61" s="254" t="s">
        <v>92</v>
      </c>
      <c r="C61" s="253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1"/>
      <c r="W61" s="251"/>
      <c r="X61" s="251"/>
      <c r="Y61" s="251"/>
      <c r="Z61" s="251"/>
      <c r="AA61" s="251"/>
      <c r="AB61" s="250"/>
      <c r="AC61" s="4"/>
      <c r="AD61" s="4"/>
    </row>
    <row r="62" spans="1:30" x14ac:dyDescent="0.25">
      <c r="A62" s="4"/>
      <c r="B62" s="249"/>
      <c r="M62"/>
      <c r="AB62" s="240"/>
      <c r="AC62" s="4"/>
      <c r="AD62" s="4"/>
    </row>
    <row r="63" spans="1:30" x14ac:dyDescent="0.25">
      <c r="A63" s="4"/>
      <c r="B63" s="249" t="s">
        <v>116</v>
      </c>
      <c r="AB63" s="240"/>
      <c r="AC63" s="4"/>
      <c r="AD63" s="4"/>
    </row>
    <row r="64" spans="1:30" x14ac:dyDescent="0.25">
      <c r="A64" s="4"/>
      <c r="B64" s="248" t="s">
        <v>115</v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AB64" s="240"/>
      <c r="AC64" s="4"/>
      <c r="AD64" s="4"/>
    </row>
    <row r="65" spans="1:30" x14ac:dyDescent="0.25">
      <c r="A65" s="4"/>
      <c r="B65" s="245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AB65" s="240"/>
      <c r="AC65" s="4"/>
      <c r="AD65" s="4"/>
    </row>
    <row r="66" spans="1:30" x14ac:dyDescent="0.25">
      <c r="A66" s="4"/>
      <c r="B66" s="246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B66" s="240"/>
      <c r="AC66" s="4"/>
      <c r="AD66" s="4"/>
    </row>
    <row r="67" spans="1:30" x14ac:dyDescent="0.25">
      <c r="A67" s="4"/>
      <c r="B67" s="246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246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246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246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246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246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246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x14ac:dyDescent="0.25">
      <c r="A76" s="4"/>
      <c r="B76" s="246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B76" s="240"/>
      <c r="AC76" s="4"/>
      <c r="AD76" s="4"/>
    </row>
    <row r="77" spans="1:30" x14ac:dyDescent="0.25">
      <c r="A77" s="4"/>
      <c r="B77" s="246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B77" s="240"/>
      <c r="AC77" s="4"/>
      <c r="AD77" s="4"/>
    </row>
    <row r="78" spans="1:30" x14ac:dyDescent="0.25">
      <c r="A78" s="4"/>
      <c r="B78" s="246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B78" s="240"/>
      <c r="AC78" s="4"/>
      <c r="AD78" s="4"/>
    </row>
    <row r="79" spans="1:30" x14ac:dyDescent="0.25">
      <c r="A79" s="4"/>
      <c r="B79" s="246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B79" s="240"/>
      <c r="AC79" s="4"/>
      <c r="AD79" s="4"/>
    </row>
    <row r="80" spans="1:30" x14ac:dyDescent="0.25">
      <c r="A80" s="4"/>
      <c r="B80" s="246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B80" s="240"/>
      <c r="AC80" s="4"/>
      <c r="AD80" s="4"/>
    </row>
    <row r="81" spans="1:30" x14ac:dyDescent="0.25">
      <c r="A81" s="4"/>
      <c r="B81" s="246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B81" s="240"/>
      <c r="AC81" s="4"/>
      <c r="AD81" s="4"/>
    </row>
    <row r="82" spans="1:30" x14ac:dyDescent="0.25">
      <c r="A82" s="4"/>
      <c r="B82" s="246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AB82" s="240"/>
      <c r="AC82" s="4"/>
      <c r="AD82" s="4"/>
    </row>
    <row r="83" spans="1:30" x14ac:dyDescent="0.25">
      <c r="A83" s="4"/>
      <c r="B83" s="246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AB83" s="240"/>
      <c r="AC83" s="4"/>
      <c r="AD83" s="4"/>
    </row>
    <row r="84" spans="1:30" x14ac:dyDescent="0.25">
      <c r="A84" s="4"/>
      <c r="B84" s="245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AB84" s="240"/>
      <c r="AC84" s="4"/>
      <c r="AD84" s="4"/>
    </row>
    <row r="85" spans="1:30" x14ac:dyDescent="0.25">
      <c r="A85" s="4"/>
      <c r="B85" s="244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AB85" s="240"/>
      <c r="AC85" s="4"/>
      <c r="AD85" s="4"/>
    </row>
    <row r="86" spans="1:30" x14ac:dyDescent="0.25">
      <c r="A86" s="4"/>
      <c r="B86" s="244"/>
      <c r="C86" s="242"/>
      <c r="D86" s="242"/>
      <c r="E86" s="242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AB86" s="240"/>
      <c r="AC86" s="4"/>
      <c r="AD86" s="4"/>
    </row>
    <row r="87" spans="1:30" x14ac:dyDescent="0.25">
      <c r="A87" s="4"/>
      <c r="B87" s="244"/>
      <c r="C87" s="243"/>
      <c r="D87" s="242"/>
      <c r="E87" s="242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AB87" s="240"/>
      <c r="AC87" s="4"/>
      <c r="AD87" s="4"/>
    </row>
    <row r="88" spans="1:30" x14ac:dyDescent="0.25">
      <c r="A88" s="4"/>
      <c r="B88" s="244"/>
      <c r="C88" s="243"/>
      <c r="D88" s="242"/>
      <c r="E88" s="242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AB88" s="240"/>
      <c r="AC88" s="4"/>
      <c r="AD88" s="4"/>
    </row>
    <row r="89" spans="1:30" x14ac:dyDescent="0.25">
      <c r="A89" s="4"/>
      <c r="B89" s="239"/>
      <c r="C89" s="238"/>
      <c r="D89" s="237"/>
      <c r="E89" s="237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5"/>
      <c r="W89" s="235"/>
      <c r="X89" s="235"/>
      <c r="Y89" s="235"/>
      <c r="Z89" s="235"/>
      <c r="AA89" s="235"/>
      <c r="AB89" s="234"/>
      <c r="AC89" s="4"/>
      <c r="AD89" s="4"/>
    </row>
    <row r="90" spans="1:30" x14ac:dyDescent="0.25">
      <c r="A90" s="4"/>
      <c r="B90" s="232"/>
      <c r="C90" s="233"/>
      <c r="D90" s="232"/>
      <c r="E90" s="232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232"/>
      <c r="C91" s="233"/>
      <c r="D91" s="232"/>
      <c r="E91" s="232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4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225" t="s">
        <v>80</v>
      </c>
      <c r="C93" s="230">
        <v>45568</v>
      </c>
      <c r="D93" s="225" t="s">
        <v>76</v>
      </c>
      <c r="E93" s="229" t="s">
        <v>114</v>
      </c>
      <c r="F93" s="229"/>
      <c r="G93" s="229"/>
      <c r="H93" s="225"/>
      <c r="I93" s="225" t="s">
        <v>77</v>
      </c>
      <c r="J93" s="228" t="s">
        <v>113</v>
      </c>
      <c r="K93" s="228"/>
      <c r="L93" s="228"/>
      <c r="M93" s="228"/>
      <c r="N93" s="225"/>
      <c r="O93" s="225"/>
      <c r="P93" s="225"/>
      <c r="Q93" s="225"/>
      <c r="R93" s="225"/>
      <c r="S93" s="225"/>
      <c r="T93" s="225"/>
      <c r="U93" s="225"/>
      <c r="V93" s="4"/>
      <c r="W93" s="4"/>
      <c r="X93" s="4"/>
      <c r="Y93" s="4"/>
      <c r="Z93" s="4"/>
      <c r="AA93" s="4"/>
      <c r="AB93" s="4"/>
      <c r="AC93" s="4"/>
      <c r="AD93" s="4"/>
    </row>
    <row r="94" spans="1:30" ht="7.5" customHeight="1" x14ac:dyDescent="0.25">
      <c r="A94" s="4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225"/>
      <c r="C95" s="225"/>
      <c r="D95" s="225" t="s">
        <v>79</v>
      </c>
      <c r="E95" s="227"/>
      <c r="F95" s="227"/>
      <c r="G95" s="227"/>
      <c r="H95" s="225"/>
      <c r="I95" s="225" t="s">
        <v>79</v>
      </c>
      <c r="J95" s="226"/>
      <c r="K95" s="226"/>
      <c r="L95" s="226"/>
      <c r="M95" s="226"/>
      <c r="N95" s="225"/>
      <c r="O95" s="225"/>
      <c r="P95" s="225"/>
      <c r="Q95" s="225"/>
      <c r="R95" s="225"/>
      <c r="S95" s="225"/>
      <c r="T95" s="225"/>
      <c r="U95" s="225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225"/>
      <c r="C96" s="225"/>
      <c r="D96" s="225"/>
      <c r="E96" s="227"/>
      <c r="F96" s="227"/>
      <c r="G96" s="227"/>
      <c r="H96" s="225"/>
      <c r="I96" s="225"/>
      <c r="J96" s="226"/>
      <c r="K96" s="226"/>
      <c r="L96" s="226"/>
      <c r="M96" s="226"/>
      <c r="N96" s="225"/>
      <c r="O96" s="225"/>
      <c r="P96" s="225"/>
      <c r="Q96" s="225"/>
      <c r="R96" s="225"/>
      <c r="S96" s="225"/>
      <c r="T96" s="225"/>
      <c r="U96" s="225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4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4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4"/>
      <c r="W98" s="4"/>
      <c r="X98" s="4"/>
      <c r="Y98" s="4"/>
      <c r="Z98" s="4"/>
      <c r="AA98" s="4"/>
      <c r="AB98" s="4"/>
      <c r="AC98" s="4"/>
      <c r="AD98" s="4"/>
    </row>
    <row r="113" x14ac:dyDescent="0.25"/>
    <row r="114" x14ac:dyDescent="0.25"/>
    <row r="115" ht="15" hidden="1" customHeight="1" x14ac:dyDescent="0.25"/>
    <row r="129" ht="15" hidden="1" customHeight="1" x14ac:dyDescent="0.25"/>
    <row r="130" ht="15" hidden="1" customHeight="1" x14ac:dyDescent="0.25"/>
  </sheetData>
  <mergeCells count="64">
    <mergeCell ref="AB10:AB14"/>
    <mergeCell ref="V11:Y11"/>
    <mergeCell ref="V12:AA12"/>
    <mergeCell ref="V13:X13"/>
    <mergeCell ref="AA13:AA14"/>
    <mergeCell ref="V10:AA10"/>
    <mergeCell ref="Y13:Y14"/>
    <mergeCell ref="Z13:Z14"/>
    <mergeCell ref="H26:H27"/>
    <mergeCell ref="I26:I27"/>
    <mergeCell ref="T26:T27"/>
    <mergeCell ref="U26:U27"/>
    <mergeCell ref="AB25:AB27"/>
    <mergeCell ref="V26:X26"/>
    <mergeCell ref="AA26:AA27"/>
    <mergeCell ref="Y26:Y27"/>
    <mergeCell ref="Z26:Z27"/>
    <mergeCell ref="V25:AA25"/>
    <mergeCell ref="E93:G93"/>
    <mergeCell ref="J93:M93"/>
    <mergeCell ref="B65:U65"/>
    <mergeCell ref="B84:U84"/>
    <mergeCell ref="D4:U4"/>
    <mergeCell ref="D8:U8"/>
    <mergeCell ref="C45:C46"/>
    <mergeCell ref="C48:C49"/>
    <mergeCell ref="C26:C27"/>
    <mergeCell ref="D12:I12"/>
    <mergeCell ref="S13:S14"/>
    <mergeCell ref="T13:T14"/>
    <mergeCell ref="U13:U14"/>
    <mergeCell ref="P25:U25"/>
    <mergeCell ref="P26:R26"/>
    <mergeCell ref="S26:S27"/>
    <mergeCell ref="P10:U10"/>
    <mergeCell ref="P11:S11"/>
    <mergeCell ref="P12:U12"/>
    <mergeCell ref="P13:R13"/>
    <mergeCell ref="D61:U61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J10:O10"/>
    <mergeCell ref="D10:I10"/>
    <mergeCell ref="D11:G11"/>
    <mergeCell ref="C10:C13"/>
    <mergeCell ref="D13:F13"/>
    <mergeCell ref="B64:U64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</mergeCells>
  <conditionalFormatting sqref="AB15:AB25">
    <cfRule type="cellIs" dxfId="77" priority="3" operator="equal">
      <formula>0</formula>
    </cfRule>
    <cfRule type="containsErrors" dxfId="76" priority="4">
      <formula>ISERROR(AB15)</formula>
    </cfRule>
  </conditionalFormatting>
  <conditionalFormatting sqref="AB28:AB43">
    <cfRule type="cellIs" dxfId="75" priority="1" operator="equal">
      <formula>0</formula>
    </cfRule>
    <cfRule type="containsErrors" dxfId="7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291"/>
  <sheetViews>
    <sheetView showGridLines="0" zoomScale="98" zoomScaleNormal="98" zoomScaleSheetLayoutView="80" workbookViewId="0">
      <selection activeCell="C37" sqref="C3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57031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140625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141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46789944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72" t="s">
        <v>140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112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77943.694000000003</v>
      </c>
      <c r="G15" s="63">
        <f>SUM(D15:F15)</f>
        <v>77943.694000000003</v>
      </c>
      <c r="H15" s="66">
        <v>126.15</v>
      </c>
      <c r="I15" s="14">
        <f>G15+H15</f>
        <v>78069.843999999997</v>
      </c>
      <c r="J15" s="12"/>
      <c r="K15" s="13"/>
      <c r="L15" s="56">
        <v>75750</v>
      </c>
      <c r="M15" s="63">
        <f>SUM(J15:L15)</f>
        <v>75750</v>
      </c>
      <c r="N15" s="66">
        <v>0</v>
      </c>
      <c r="O15" s="14">
        <f>M15+N15</f>
        <v>75750</v>
      </c>
      <c r="P15" s="12"/>
      <c r="Q15" s="13"/>
      <c r="R15" s="56">
        <v>41154.239999999998</v>
      </c>
      <c r="S15" s="63">
        <f>SUM(P15:R15)</f>
        <v>41154.239999999998</v>
      </c>
      <c r="T15" s="66">
        <v>103.7</v>
      </c>
      <c r="U15" s="14">
        <f>S15+T15</f>
        <v>41257.939999999995</v>
      </c>
      <c r="V15" s="480" t="s">
        <v>87</v>
      </c>
      <c r="W15" s="13"/>
      <c r="X15" s="480">
        <v>81450</v>
      </c>
      <c r="Y15" s="63">
        <f>SUM(V15:X15)</f>
        <v>81450</v>
      </c>
      <c r="Z15" s="66">
        <v>0</v>
      </c>
      <c r="AA15" s="14">
        <f>Y15+Z15</f>
        <v>81450</v>
      </c>
      <c r="AB15" s="145">
        <f>(AA15/O15)</f>
        <v>1.0752475247524753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22608.81</v>
      </c>
      <c r="E16" s="16"/>
      <c r="F16" s="16"/>
      <c r="G16" s="64">
        <f>SUM(D16:F16)</f>
        <v>22608.81</v>
      </c>
      <c r="H16" s="67"/>
      <c r="I16" s="14">
        <f>G16+H16</f>
        <v>22608.81</v>
      </c>
      <c r="J16" s="57">
        <v>28004</v>
      </c>
      <c r="K16" s="16"/>
      <c r="L16" s="16"/>
      <c r="M16" s="64">
        <f>SUM(J16:L16)</f>
        <v>28004</v>
      </c>
      <c r="N16" s="67"/>
      <c r="O16" s="14">
        <f>M16+N16</f>
        <v>28004</v>
      </c>
      <c r="P16" s="57">
        <v>19754</v>
      </c>
      <c r="Q16" s="16"/>
      <c r="R16" s="16"/>
      <c r="S16" s="64">
        <f>SUM(P16:R16)</f>
        <v>19754</v>
      </c>
      <c r="T16" s="67"/>
      <c r="U16" s="14">
        <f>S16+T16</f>
        <v>19754</v>
      </c>
      <c r="V16" s="478">
        <v>28647</v>
      </c>
      <c r="W16" s="16"/>
      <c r="X16" s="16"/>
      <c r="Y16" s="64">
        <f>SUM(V16:X16)</f>
        <v>28647</v>
      </c>
      <c r="Z16" s="67"/>
      <c r="AA16" s="14">
        <f>Y16+Z16</f>
        <v>28647</v>
      </c>
      <c r="AB16" s="145">
        <f>(AA16/O16)</f>
        <v>1.0229610055706329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>SUM(D17:F17)</f>
        <v>0</v>
      </c>
      <c r="H17" s="68"/>
      <c r="I17" s="14">
        <f>G17+H17</f>
        <v>0</v>
      </c>
      <c r="J17" s="58"/>
      <c r="K17" s="17"/>
      <c r="L17" s="17"/>
      <c r="M17" s="64">
        <f>SUM(J17:L17)</f>
        <v>0</v>
      </c>
      <c r="N17" s="68"/>
      <c r="O17" s="14">
        <f>M17+N17</f>
        <v>0</v>
      </c>
      <c r="P17" s="58"/>
      <c r="Q17" s="17"/>
      <c r="R17" s="17"/>
      <c r="S17" s="64">
        <f>SUM(P17:R17)</f>
        <v>0</v>
      </c>
      <c r="T17" s="68"/>
      <c r="U17" s="14">
        <f>S17+T17</f>
        <v>0</v>
      </c>
      <c r="V17" s="478"/>
      <c r="W17" s="17"/>
      <c r="X17" s="17"/>
      <c r="Y17" s="64">
        <f>SUM(V17:X17)</f>
        <v>0</v>
      </c>
      <c r="Z17" s="68"/>
      <c r="AA17" s="14">
        <f>Y17+Z17</f>
        <v>0</v>
      </c>
      <c r="AB17" s="145" t="e">
        <f>(AA17/O17)</f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54477.942000000003</v>
      </c>
      <c r="F18" s="17"/>
      <c r="G18" s="64">
        <f>SUM(D18:F18)</f>
        <v>54477.942000000003</v>
      </c>
      <c r="H18" s="66"/>
      <c r="I18" s="14">
        <f>G18+H18</f>
        <v>54477.942000000003</v>
      </c>
      <c r="J18" s="18"/>
      <c r="K18" s="59">
        <v>54755.75</v>
      </c>
      <c r="L18" s="17"/>
      <c r="M18" s="64">
        <f>SUM(J18:L18)</f>
        <v>54755.75</v>
      </c>
      <c r="N18" s="66"/>
      <c r="O18" s="14">
        <f>M18+N18</f>
        <v>54755.75</v>
      </c>
      <c r="P18" s="18"/>
      <c r="Q18" s="59">
        <v>53652.777999999998</v>
      </c>
      <c r="R18" s="17"/>
      <c r="S18" s="64">
        <f>SUM(P18:R18)</f>
        <v>53652.777999999998</v>
      </c>
      <c r="T18" s="66"/>
      <c r="U18" s="14">
        <f>S18+T18</f>
        <v>53652.777999999998</v>
      </c>
      <c r="V18" s="479"/>
      <c r="W18" s="478">
        <v>58148</v>
      </c>
      <c r="X18" s="17"/>
      <c r="Y18" s="64">
        <f>SUM(V18:X18)</f>
        <v>58148</v>
      </c>
      <c r="Z18" s="66"/>
      <c r="AA18" s="14">
        <f>Y18+Z18</f>
        <v>58148</v>
      </c>
      <c r="AB18" s="145">
        <f>(AA18/O18)</f>
        <v>1.0619523976933929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>SUM(D19:F19)</f>
        <v>0</v>
      </c>
      <c r="H19" s="69"/>
      <c r="I19" s="14">
        <f>G19+H19</f>
        <v>0</v>
      </c>
      <c r="J19" s="19"/>
      <c r="K19" s="17"/>
      <c r="L19" s="60"/>
      <c r="M19" s="64">
        <f>SUM(J19:L19)</f>
        <v>0</v>
      </c>
      <c r="N19" s="69"/>
      <c r="O19" s="14">
        <f>M19+N19</f>
        <v>0</v>
      </c>
      <c r="P19" s="19"/>
      <c r="Q19" s="17"/>
      <c r="R19" s="60"/>
      <c r="S19" s="64">
        <f>SUM(P19:R19)</f>
        <v>0</v>
      </c>
      <c r="T19" s="69"/>
      <c r="U19" s="14">
        <f>S19+T19</f>
        <v>0</v>
      </c>
      <c r="V19" s="478"/>
      <c r="W19" s="17"/>
      <c r="X19" s="60"/>
      <c r="Y19" s="64">
        <f>SUM(V19:X19)</f>
        <v>0</v>
      </c>
      <c r="Z19" s="69"/>
      <c r="AA19" s="14">
        <f>Y19+Z19</f>
        <v>0</v>
      </c>
      <c r="AB19" s="145" t="e">
        <f>(AA19/O19)</f>
        <v>#DIV/0!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66.081000000000003</v>
      </c>
      <c r="G20" s="63">
        <f>SUM(D20:F20)</f>
        <v>66.081000000000003</v>
      </c>
      <c r="H20" s="69"/>
      <c r="I20" s="14">
        <f>G20+H20</f>
        <v>66.081000000000003</v>
      </c>
      <c r="J20" s="18"/>
      <c r="K20" s="16"/>
      <c r="L20" s="61">
        <v>0</v>
      </c>
      <c r="M20" s="64">
        <f>SUM(J20:L20)</f>
        <v>0</v>
      </c>
      <c r="N20" s="69"/>
      <c r="O20" s="14">
        <f>M20+N20</f>
        <v>0</v>
      </c>
      <c r="P20" s="18"/>
      <c r="Q20" s="16"/>
      <c r="R20" s="61">
        <v>167.56299999999999</v>
      </c>
      <c r="S20" s="64">
        <f>SUM(P20:R20)</f>
        <v>167.56299999999999</v>
      </c>
      <c r="T20" s="69">
        <v>0.65600000000000003</v>
      </c>
      <c r="U20" s="14">
        <f>S20+T20</f>
        <v>168.21899999999999</v>
      </c>
      <c r="V20" s="478"/>
      <c r="W20" s="16"/>
      <c r="X20" s="61"/>
      <c r="Y20" s="64">
        <f>SUM(V20:X20)</f>
        <v>0</v>
      </c>
      <c r="Z20" s="69"/>
      <c r="AA20" s="14">
        <f>Y20+Z20</f>
        <v>0</v>
      </c>
      <c r="AB20" s="145" t="e">
        <f>(AA20/O20)</f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1726.992</v>
      </c>
      <c r="G21" s="64">
        <f>SUM(D21:F21)</f>
        <v>1726.992</v>
      </c>
      <c r="H21" s="70">
        <v>0.67900000000000005</v>
      </c>
      <c r="I21" s="14">
        <f>G21+H21</f>
        <v>1727.671</v>
      </c>
      <c r="J21" s="18"/>
      <c r="K21" s="16"/>
      <c r="L21" s="61">
        <v>406</v>
      </c>
      <c r="M21" s="64">
        <f>SUM(J21:L21)</f>
        <v>406</v>
      </c>
      <c r="N21" s="70"/>
      <c r="O21" s="14">
        <f>M21+N21</f>
        <v>406</v>
      </c>
      <c r="P21" s="18"/>
      <c r="Q21" s="16"/>
      <c r="R21" s="61">
        <v>1260.913</v>
      </c>
      <c r="S21" s="64">
        <f>SUM(P21:R21)</f>
        <v>1260.913</v>
      </c>
      <c r="T21" s="70">
        <v>0</v>
      </c>
      <c r="U21" s="14">
        <f>S21+T21</f>
        <v>1260.913</v>
      </c>
      <c r="V21" s="478" t="s">
        <v>87</v>
      </c>
      <c r="W21" s="16"/>
      <c r="X21" s="478">
        <v>297</v>
      </c>
      <c r="Y21" s="64">
        <f>SUM(V21:X21)</f>
        <v>297</v>
      </c>
      <c r="Z21" s="70"/>
      <c r="AA21" s="14">
        <f>Y21+Z21</f>
        <v>297</v>
      </c>
      <c r="AB21" s="145">
        <f>(AA21/O21)</f>
        <v>0.73152709359605916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/>
      <c r="I22" s="14">
        <f>G22+H22</f>
        <v>0</v>
      </c>
      <c r="J22" s="18"/>
      <c r="K22" s="16"/>
      <c r="L22" s="61"/>
      <c r="M22" s="64">
        <f>SUM(J22:L22)</f>
        <v>0</v>
      </c>
      <c r="N22" s="70"/>
      <c r="O22" s="14">
        <f>M22+N22</f>
        <v>0</v>
      </c>
      <c r="P22" s="18"/>
      <c r="Q22" s="16"/>
      <c r="R22" s="61"/>
      <c r="S22" s="64">
        <f>SUM(P22:R22)</f>
        <v>0</v>
      </c>
      <c r="T22" s="70">
        <v>0</v>
      </c>
      <c r="U22" s="14">
        <f>S22+T22</f>
        <v>0</v>
      </c>
      <c r="V22" s="478"/>
      <c r="W22" s="16"/>
      <c r="X22" s="61"/>
      <c r="Y22" s="64">
        <f>SUM(V22:X22)</f>
        <v>0</v>
      </c>
      <c r="Z22" s="70"/>
      <c r="AA22" s="14">
        <f>Y22+Z22</f>
        <v>0</v>
      </c>
      <c r="AB22" s="145" t="e">
        <f>(AA22/O22)</f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4.5</v>
      </c>
      <c r="G23" s="65">
        <f>SUM(D23:F23)</f>
        <v>4.5</v>
      </c>
      <c r="H23" s="71"/>
      <c r="I23" s="14">
        <f>G23+H23</f>
        <v>4.5</v>
      </c>
      <c r="J23" s="21"/>
      <c r="K23" s="22"/>
      <c r="L23" s="62"/>
      <c r="M23" s="65">
        <f>SUM(J23:L23)</f>
        <v>0</v>
      </c>
      <c r="N23" s="71"/>
      <c r="O23" s="23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477"/>
      <c r="W23" s="22"/>
      <c r="X23" s="62"/>
      <c r="Y23" s="65">
        <f>SUM(V23:X23)</f>
        <v>0</v>
      </c>
      <c r="Z23" s="71"/>
      <c r="AA23" s="23">
        <f>Y23+Z23</f>
        <v>0</v>
      </c>
      <c r="AB23" s="148" t="e">
        <f>(AA23/O23)</f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22608.81</v>
      </c>
      <c r="E24" s="27">
        <f>SUM(E15:E21)</f>
        <v>54477.942000000003</v>
      </c>
      <c r="F24" s="27">
        <f>SUM(F15:F21)</f>
        <v>79736.767000000007</v>
      </c>
      <c r="G24" s="28">
        <f>SUM(D24:F24)</f>
        <v>156823.51900000003</v>
      </c>
      <c r="H24" s="29">
        <f>SUM(H15:H21)</f>
        <v>126.82900000000001</v>
      </c>
      <c r="I24" s="29">
        <f>SUM(I15:I21)</f>
        <v>156950.348</v>
      </c>
      <c r="J24" s="26">
        <f>SUM(J15:J21)</f>
        <v>28004</v>
      </c>
      <c r="K24" s="27">
        <f>SUM(K15:K21)</f>
        <v>54755.75</v>
      </c>
      <c r="L24" s="27">
        <f>SUM(L15:L21)</f>
        <v>76156</v>
      </c>
      <c r="M24" s="28">
        <f>SUM(J24:L24)</f>
        <v>158915.75</v>
      </c>
      <c r="N24" s="29">
        <f>SUM(N15:N21)</f>
        <v>0</v>
      </c>
      <c r="O24" s="29">
        <f>SUM(O15:O21)</f>
        <v>158915.75</v>
      </c>
      <c r="P24" s="26">
        <f>SUM(P15:P21)</f>
        <v>19754</v>
      </c>
      <c r="Q24" s="27">
        <f>SUM(Q15:Q21)</f>
        <v>53652.777999999998</v>
      </c>
      <c r="R24" s="27">
        <f>SUM(R15:R21)</f>
        <v>42582.716</v>
      </c>
      <c r="S24" s="28">
        <f>SUM(P24:R24)</f>
        <v>115989.49399999999</v>
      </c>
      <c r="T24" s="29">
        <f>SUM(T15:T21)</f>
        <v>104.35600000000001</v>
      </c>
      <c r="U24" s="29">
        <f>SUM(U15:U21)</f>
        <v>116093.84999999999</v>
      </c>
      <c r="V24" s="26">
        <f>SUM(V15:V21)</f>
        <v>28647</v>
      </c>
      <c r="W24" s="27">
        <f>SUM(W15:W21)</f>
        <v>58148</v>
      </c>
      <c r="X24" s="27">
        <f>SUM(X15:X21)</f>
        <v>81747</v>
      </c>
      <c r="Y24" s="28">
        <f>SUM(V24:X24)</f>
        <v>168542</v>
      </c>
      <c r="Z24" s="29">
        <f>SUM(Z15:Z21)</f>
        <v>0</v>
      </c>
      <c r="AA24" s="29">
        <f>SUM(AA15:AA21)</f>
        <v>168542</v>
      </c>
      <c r="AB24" s="149">
        <f>(AA24/O24)</f>
        <v>1.0605745497221011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211" t="s">
        <v>68</v>
      </c>
      <c r="K25" s="212"/>
      <c r="L25" s="212"/>
      <c r="M25" s="213"/>
      <c r="N25" s="213"/>
      <c r="O25" s="214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198" t="s">
        <v>99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201" t="s">
        <v>69</v>
      </c>
      <c r="K26" s="202"/>
      <c r="L26" s="202"/>
      <c r="M26" s="203" t="s">
        <v>64</v>
      </c>
      <c r="N26" s="205" t="s">
        <v>67</v>
      </c>
      <c r="O26" s="207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199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32" t="s">
        <v>54</v>
      </c>
      <c r="K27" s="33" t="s">
        <v>55</v>
      </c>
      <c r="L27" s="34" t="s">
        <v>56</v>
      </c>
      <c r="M27" s="204"/>
      <c r="N27" s="206"/>
      <c r="O27" s="208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20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0</v>
      </c>
      <c r="E28" s="72"/>
      <c r="F28" s="72">
        <v>3627.6</v>
      </c>
      <c r="G28" s="73">
        <f>SUM(D28:F28)</f>
        <v>3627.6</v>
      </c>
      <c r="H28" s="73"/>
      <c r="I28" s="37">
        <f>G28+H28</f>
        <v>3627.6</v>
      </c>
      <c r="J28" s="80">
        <v>599</v>
      </c>
      <c r="K28" s="72"/>
      <c r="L28" s="72">
        <v>2000</v>
      </c>
      <c r="M28" s="73">
        <f>SUM(J28:L28)</f>
        <v>2599</v>
      </c>
      <c r="N28" s="73"/>
      <c r="O28" s="37">
        <f>M28+N28</f>
        <v>2599</v>
      </c>
      <c r="P28" s="80">
        <v>182.7</v>
      </c>
      <c r="Q28" s="72"/>
      <c r="R28" s="72">
        <v>1035.287</v>
      </c>
      <c r="S28" s="73">
        <f>SUM(P28:R28)</f>
        <v>1217.9870000000001</v>
      </c>
      <c r="T28" s="73"/>
      <c r="U28" s="37">
        <f>S28+T28</f>
        <v>1217.9870000000001</v>
      </c>
      <c r="V28" s="476">
        <v>0</v>
      </c>
      <c r="W28" s="72"/>
      <c r="X28" s="72">
        <v>2690</v>
      </c>
      <c r="Y28" s="73">
        <f>SUM(V28:X28)</f>
        <v>2690</v>
      </c>
      <c r="Z28" s="73"/>
      <c r="AA28" s="37">
        <f>Y28+Z28</f>
        <v>2690</v>
      </c>
      <c r="AB28" s="145">
        <f>(AA28/O28)</f>
        <v>1.0350134667179685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0</v>
      </c>
      <c r="E29" s="74"/>
      <c r="F29" s="74">
        <v>17677.599999999999</v>
      </c>
      <c r="G29" s="75">
        <f>SUM(D29:F29)</f>
        <v>17677.599999999999</v>
      </c>
      <c r="H29" s="76">
        <v>13.920999999999999</v>
      </c>
      <c r="I29" s="14">
        <f>G29+H29</f>
        <v>17691.520999999997</v>
      </c>
      <c r="J29" s="81">
        <v>2000</v>
      </c>
      <c r="K29" s="74">
        <v>0</v>
      </c>
      <c r="L29" s="74">
        <f>18621-2200</f>
        <v>16421</v>
      </c>
      <c r="M29" s="75">
        <f>SUM(J29:L29)</f>
        <v>18421</v>
      </c>
      <c r="N29" s="76"/>
      <c r="O29" s="14">
        <f>M29+N29</f>
        <v>18421</v>
      </c>
      <c r="P29" s="81"/>
      <c r="Q29" s="74">
        <v>118.958</v>
      </c>
      <c r="R29" s="74">
        <v>8430.2630000000008</v>
      </c>
      <c r="S29" s="75">
        <f>SUM(P29:R29)</f>
        <v>8549.2210000000014</v>
      </c>
      <c r="T29" s="76">
        <v>2.8140000000000001</v>
      </c>
      <c r="U29" s="14">
        <f>S29+T29</f>
        <v>8552.0350000000017</v>
      </c>
      <c r="V29" s="75">
        <v>3200</v>
      </c>
      <c r="W29" s="74">
        <v>0</v>
      </c>
      <c r="X29" s="74">
        <v>15919</v>
      </c>
      <c r="Y29" s="75">
        <f>SUM(V29:X29)</f>
        <v>19119</v>
      </c>
      <c r="Z29" s="76"/>
      <c r="AA29" s="14">
        <f>Y29+Z29</f>
        <v>19119</v>
      </c>
      <c r="AB29" s="145">
        <f>(AA29/O29)</f>
        <v>1.0378915368329624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0</v>
      </c>
      <c r="E30" s="77"/>
      <c r="F30" s="77">
        <v>9244.09</v>
      </c>
      <c r="G30" s="75">
        <f>SUM(D30:F30)</f>
        <v>9244.09</v>
      </c>
      <c r="H30" s="75"/>
      <c r="I30" s="14">
        <f>G30+H30</f>
        <v>9244.09</v>
      </c>
      <c r="J30" s="82">
        <v>4000</v>
      </c>
      <c r="K30" s="77"/>
      <c r="L30" s="77">
        <v>6390</v>
      </c>
      <c r="M30" s="75">
        <f>SUM(J30:L30)</f>
        <v>10390</v>
      </c>
      <c r="N30" s="75"/>
      <c r="O30" s="14">
        <f>M30+N30</f>
        <v>10390</v>
      </c>
      <c r="P30" s="82">
        <v>1133.82</v>
      </c>
      <c r="Q30" s="77">
        <v>160</v>
      </c>
      <c r="R30" s="77">
        <v>4375.3</v>
      </c>
      <c r="S30" s="75">
        <f>SUM(P30:R30)</f>
        <v>5669.12</v>
      </c>
      <c r="T30" s="75"/>
      <c r="U30" s="14">
        <f>S30+T30</f>
        <v>5669.12</v>
      </c>
      <c r="V30" s="75">
        <v>2997</v>
      </c>
      <c r="W30" s="77"/>
      <c r="X30" s="77">
        <v>7563</v>
      </c>
      <c r="Y30" s="75">
        <f>SUM(V30:X30)</f>
        <v>10560</v>
      </c>
      <c r="Z30" s="75"/>
      <c r="AA30" s="14">
        <f>Y30+Z30</f>
        <v>10560</v>
      </c>
      <c r="AB30" s="145">
        <f>(AA30/O30)</f>
        <v>1.016361886429259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0</v>
      </c>
      <c r="E31" s="77"/>
      <c r="F31" s="77">
        <v>9014.5689999999995</v>
      </c>
      <c r="G31" s="75">
        <f>SUM(D31:F31)</f>
        <v>9014.5689999999995</v>
      </c>
      <c r="H31" s="75"/>
      <c r="I31" s="14">
        <f>G31+H31</f>
        <v>9014.5689999999995</v>
      </c>
      <c r="J31" s="82">
        <v>3000</v>
      </c>
      <c r="K31" s="77">
        <v>0</v>
      </c>
      <c r="L31" s="77">
        <f>9475-3210</f>
        <v>6265</v>
      </c>
      <c r="M31" s="75">
        <f>SUM(J31:L31)</f>
        <v>9265</v>
      </c>
      <c r="N31" s="75"/>
      <c r="O31" s="14">
        <f>M31+N31</f>
        <v>9265</v>
      </c>
      <c r="P31" s="82">
        <v>1421.6389999999999</v>
      </c>
      <c r="Q31" s="77">
        <v>68.340999999999994</v>
      </c>
      <c r="R31" s="77">
        <v>3317.1590000000001</v>
      </c>
      <c r="S31" s="75">
        <f>SUM(P31:R31)</f>
        <v>4807.1390000000001</v>
      </c>
      <c r="T31" s="75"/>
      <c r="U31" s="14">
        <f>S31+T31</f>
        <v>4807.1390000000001</v>
      </c>
      <c r="V31" s="75">
        <v>1150</v>
      </c>
      <c r="W31" s="77">
        <v>0</v>
      </c>
      <c r="X31" s="77">
        <v>9237</v>
      </c>
      <c r="Y31" s="75">
        <f>SUM(V31:X31)</f>
        <v>10387</v>
      </c>
      <c r="Z31" s="75"/>
      <c r="AA31" s="14">
        <f>Y31+Z31</f>
        <v>10387</v>
      </c>
      <c r="AB31" s="145">
        <f>(AA31/O31)</f>
        <v>1.1211009174311926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7">
        <v>22608.81</v>
      </c>
      <c r="E32" s="77">
        <v>33934.307999999997</v>
      </c>
      <c r="F32" s="77">
        <v>26279.291000000001</v>
      </c>
      <c r="G32" s="75">
        <f>SUM(D32:F32)</f>
        <v>82822.409</v>
      </c>
      <c r="H32" s="75">
        <v>94</v>
      </c>
      <c r="I32" s="14">
        <f>G32+H32</f>
        <v>82916.409</v>
      </c>
      <c r="J32" s="82">
        <v>13500</v>
      </c>
      <c r="K32" s="77">
        <v>40990</v>
      </c>
      <c r="L32" s="77">
        <f>82650-54490</f>
        <v>28160</v>
      </c>
      <c r="M32" s="75">
        <f>SUM(J32:L32)</f>
        <v>82650</v>
      </c>
      <c r="N32" s="75"/>
      <c r="O32" s="14">
        <f>M32+N32</f>
        <v>82650</v>
      </c>
      <c r="P32" s="475">
        <v>5844.6827999999996</v>
      </c>
      <c r="Q32" s="82">
        <v>19282.392</v>
      </c>
      <c r="R32" s="77">
        <v>16265.862999999999</v>
      </c>
      <c r="S32" s="75">
        <f>SUM(P32:R32)</f>
        <v>41392.9378</v>
      </c>
      <c r="T32" s="75"/>
      <c r="U32" s="14">
        <f>S32+T32</f>
        <v>41392.9378</v>
      </c>
      <c r="V32" s="75">
        <v>15100</v>
      </c>
      <c r="W32" s="77">
        <v>43530</v>
      </c>
      <c r="X32" s="77">
        <v>30020</v>
      </c>
      <c r="Y32" s="75">
        <f>SUM(V32:X32)</f>
        <v>88650</v>
      </c>
      <c r="Z32" s="75"/>
      <c r="AA32" s="14">
        <f>Y32+Z32</f>
        <v>88650</v>
      </c>
      <c r="AB32" s="145">
        <f>(AA32/O32)</f>
        <v>1.072595281306715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7">
        <v>22608.81</v>
      </c>
      <c r="E33" s="77">
        <v>33934.307999999997</v>
      </c>
      <c r="F33" s="77">
        <v>26279.291000000001</v>
      </c>
      <c r="G33" s="75">
        <f>SUM(D33:F33)</f>
        <v>82822.409</v>
      </c>
      <c r="H33" s="75">
        <v>94</v>
      </c>
      <c r="I33" s="14">
        <f>G33+H33</f>
        <v>82916.409</v>
      </c>
      <c r="J33" s="82">
        <v>13500</v>
      </c>
      <c r="K33" s="77">
        <v>40990</v>
      </c>
      <c r="L33" s="77">
        <v>28160</v>
      </c>
      <c r="M33" s="75">
        <f>SUM(J33:L33)</f>
        <v>82650</v>
      </c>
      <c r="N33" s="75"/>
      <c r="O33" s="14">
        <f>M33+N33</f>
        <v>82650</v>
      </c>
      <c r="P33" s="475">
        <v>5844.6827999999996</v>
      </c>
      <c r="Q33" s="82">
        <v>19282.392</v>
      </c>
      <c r="R33" s="77">
        <v>16265.862999999999</v>
      </c>
      <c r="S33" s="75">
        <f>SUM(P33:R33)</f>
        <v>41392.9378</v>
      </c>
      <c r="T33" s="75"/>
      <c r="U33" s="14">
        <f>S33+T33</f>
        <v>41392.9378</v>
      </c>
      <c r="V33" s="75">
        <v>15100</v>
      </c>
      <c r="W33" s="77">
        <v>43530</v>
      </c>
      <c r="X33" s="77">
        <v>30020</v>
      </c>
      <c r="Y33" s="75">
        <f>SUM(V33:X33)</f>
        <v>88650</v>
      </c>
      <c r="Z33" s="75"/>
      <c r="AA33" s="14">
        <f>Y33+Z33</f>
        <v>88650</v>
      </c>
      <c r="AB33" s="145">
        <f>(AA33/O33)</f>
        <v>1.072595281306715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7">
        <v>0</v>
      </c>
      <c r="E34" s="77">
        <v>0</v>
      </c>
      <c r="F34" s="77">
        <v>0</v>
      </c>
      <c r="G34" s="75">
        <f>SUM(D34:F34)</f>
        <v>0</v>
      </c>
      <c r="H34" s="75"/>
      <c r="I34" s="14">
        <f>G34+H34</f>
        <v>0</v>
      </c>
      <c r="J34" s="82">
        <v>0</v>
      </c>
      <c r="K34" s="77">
        <v>0</v>
      </c>
      <c r="L34" s="77">
        <v>0</v>
      </c>
      <c r="M34" s="75">
        <f>SUM(J34:L34)</f>
        <v>0</v>
      </c>
      <c r="N34" s="75"/>
      <c r="O34" s="14">
        <f>M34+N34</f>
        <v>0</v>
      </c>
      <c r="P34" s="82">
        <v>0</v>
      </c>
      <c r="Q34" s="77"/>
      <c r="R34" s="77"/>
      <c r="S34" s="75">
        <f>SUM(P34:R34)</f>
        <v>0</v>
      </c>
      <c r="T34" s="75"/>
      <c r="U34" s="14">
        <f>S34+T34</f>
        <v>0</v>
      </c>
      <c r="V34" s="75">
        <v>0</v>
      </c>
      <c r="W34" s="77">
        <v>0</v>
      </c>
      <c r="X34" s="77">
        <v>0</v>
      </c>
      <c r="Y34" s="75">
        <f>SUM(V34:X34)</f>
        <v>0</v>
      </c>
      <c r="Z34" s="75"/>
      <c r="AA34" s="14">
        <f>Y34+Z34</f>
        <v>0</v>
      </c>
      <c r="AB34" s="145" t="e">
        <f>(AA34/O34)</f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7">
        <v>0</v>
      </c>
      <c r="E35" s="77">
        <v>20543.599999999999</v>
      </c>
      <c r="F35" s="77">
        <v>7236</v>
      </c>
      <c r="G35" s="75">
        <f>SUM(D35:F35)</f>
        <v>27779.599999999999</v>
      </c>
      <c r="H35" s="75">
        <v>4.056</v>
      </c>
      <c r="I35" s="14">
        <f>G35+H35</f>
        <v>27783.655999999999</v>
      </c>
      <c r="J35" s="82">
        <v>4500</v>
      </c>
      <c r="K35" s="77">
        <v>13765.75</v>
      </c>
      <c r="L35" s="77">
        <f>27943-18310</f>
        <v>9633</v>
      </c>
      <c r="M35" s="75">
        <f>SUM(J35:L35)</f>
        <v>27898.75</v>
      </c>
      <c r="N35" s="75"/>
      <c r="O35" s="14">
        <f>M35+N35</f>
        <v>27898.75</v>
      </c>
      <c r="P35" s="82">
        <v>2253.64</v>
      </c>
      <c r="Q35" s="77">
        <v>6513.1239999999998</v>
      </c>
      <c r="R35" s="77">
        <v>5032.6580000000004</v>
      </c>
      <c r="S35" s="75">
        <f>SUM(P35:R35)</f>
        <v>13799.421999999999</v>
      </c>
      <c r="T35" s="75"/>
      <c r="U35" s="14">
        <f>S35+T35</f>
        <v>13799.421999999999</v>
      </c>
      <c r="V35" s="75">
        <v>5500</v>
      </c>
      <c r="W35" s="77">
        <v>14618</v>
      </c>
      <c r="X35" s="77">
        <v>10222</v>
      </c>
      <c r="Y35" s="75">
        <f>SUM(V35:X35)</f>
        <v>30340</v>
      </c>
      <c r="Z35" s="75"/>
      <c r="AA35" s="14">
        <f>Y35+Z35</f>
        <v>30340</v>
      </c>
      <c r="AB35" s="145">
        <f>(AA35/O35)</f>
        <v>1.0875039204265424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/>
      <c r="F36" s="77">
        <v>12.045</v>
      </c>
      <c r="G36" s="75">
        <f>SUM(D36:F36)</f>
        <v>12.045</v>
      </c>
      <c r="H36" s="75"/>
      <c r="I36" s="14">
        <f>G36+H36</f>
        <v>12.045</v>
      </c>
      <c r="J36" s="82"/>
      <c r="K36" s="77"/>
      <c r="L36" s="77"/>
      <c r="M36" s="75">
        <f>SUM(J36:L36)</f>
        <v>0</v>
      </c>
      <c r="N36" s="75"/>
      <c r="O36" s="14">
        <f>M36+N36</f>
        <v>0</v>
      </c>
      <c r="P36" s="82"/>
      <c r="Q36" s="77"/>
      <c r="R36" s="77">
        <v>390.48899999999998</v>
      </c>
      <c r="S36" s="75">
        <f>SUM(P36:R36)</f>
        <v>390.48899999999998</v>
      </c>
      <c r="T36" s="75"/>
      <c r="U36" s="14">
        <f>S36+T36</f>
        <v>390.48899999999998</v>
      </c>
      <c r="V36" s="75"/>
      <c r="W36" s="77"/>
      <c r="X36" s="77"/>
      <c r="Y36" s="75">
        <f>SUM(V36:X36)</f>
        <v>0</v>
      </c>
      <c r="Z36" s="75"/>
      <c r="AA36" s="14">
        <f>Y36+Z36</f>
        <v>0</v>
      </c>
      <c r="AB36" s="145" t="e">
        <f>(AA36/O36)</f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0</v>
      </c>
      <c r="E37" s="77"/>
      <c r="F37" s="77">
        <v>3132.2240000000002</v>
      </c>
      <c r="G37" s="75">
        <f>SUM(D37:F37)</f>
        <v>3132.2240000000002</v>
      </c>
      <c r="H37" s="75"/>
      <c r="I37" s="14">
        <f>G37+H37</f>
        <v>3132.2240000000002</v>
      </c>
      <c r="J37" s="82">
        <v>200</v>
      </c>
      <c r="K37" s="77"/>
      <c r="L37" s="77">
        <v>1383</v>
      </c>
      <c r="M37" s="75">
        <f>SUM(J37:L37)</f>
        <v>1583</v>
      </c>
      <c r="N37" s="75"/>
      <c r="O37" s="14">
        <f>M37+N37</f>
        <v>1583</v>
      </c>
      <c r="P37" s="82">
        <v>431.495</v>
      </c>
      <c r="Q37" s="77">
        <v>20.093</v>
      </c>
      <c r="R37" s="77">
        <v>836.45699999999999</v>
      </c>
      <c r="S37" s="75">
        <f>SUM(P37:R37)</f>
        <v>1288.0450000000001</v>
      </c>
      <c r="T37" s="75"/>
      <c r="U37" s="14">
        <f>S37+T37</f>
        <v>1288.0450000000001</v>
      </c>
      <c r="V37" s="75">
        <v>300</v>
      </c>
      <c r="W37" s="77"/>
      <c r="X37" s="77">
        <v>1414</v>
      </c>
      <c r="Y37" s="75">
        <f>SUM(V37:X37)</f>
        <v>1714</v>
      </c>
      <c r="Z37" s="75"/>
      <c r="AA37" s="14">
        <f>Y37+Z37</f>
        <v>1714</v>
      </c>
      <c r="AB37" s="145">
        <f>(AA37/O37)</f>
        <v>1.0827542640555907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8">
        <v>0</v>
      </c>
      <c r="E38" s="78"/>
      <c r="F38" s="78">
        <v>3513.3809999999999</v>
      </c>
      <c r="G38" s="75">
        <f>SUM(D38:F38)</f>
        <v>3513.3809999999999</v>
      </c>
      <c r="H38" s="79">
        <v>0</v>
      </c>
      <c r="I38" s="23">
        <f>G38+H38</f>
        <v>3513.3809999999999</v>
      </c>
      <c r="J38" s="84">
        <v>205</v>
      </c>
      <c r="K38" s="78">
        <v>0</v>
      </c>
      <c r="L38" s="78">
        <f>349+2654+769+2365-204.8-28.2</f>
        <v>5904</v>
      </c>
      <c r="M38" s="79">
        <f>SUM(J38:L38)</f>
        <v>6109</v>
      </c>
      <c r="N38" s="79"/>
      <c r="O38" s="23">
        <f>M38+N38</f>
        <v>6109</v>
      </c>
      <c r="P38" s="84">
        <v>178.976</v>
      </c>
      <c r="Q38" s="78"/>
      <c r="R38" s="78">
        <v>865.22199999999998</v>
      </c>
      <c r="S38" s="79">
        <f>SUM(P38:R38)</f>
        <v>1044.1979999999999</v>
      </c>
      <c r="T38" s="79">
        <v>0.09</v>
      </c>
      <c r="U38" s="23">
        <f>S38+T38</f>
        <v>1044.2879999999998</v>
      </c>
      <c r="V38" s="79">
        <v>400</v>
      </c>
      <c r="W38" s="78">
        <v>0</v>
      </c>
      <c r="X38" s="78">
        <v>4682</v>
      </c>
      <c r="Y38" s="79">
        <f>SUM(V38:X38)</f>
        <v>5082</v>
      </c>
      <c r="Z38" s="79"/>
      <c r="AA38" s="23">
        <f>Y38+Z38</f>
        <v>5082</v>
      </c>
      <c r="AB38" s="148">
        <f>(AA38/O38)</f>
        <v>0.83188737927647738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22608.81</v>
      </c>
      <c r="E39" s="42">
        <f>SUM(E35:E38)+SUM(E28:E32)</f>
        <v>54477.907999999996</v>
      </c>
      <c r="F39" s="42">
        <f>SUM(F35:F38)+SUM(F28:F32)</f>
        <v>79736.799999999988</v>
      </c>
      <c r="G39" s="144">
        <f>SUM(D39:F39)</f>
        <v>156823.51799999998</v>
      </c>
      <c r="H39" s="43">
        <f>SUM(H28:H32)+SUM(H35:H38)</f>
        <v>111.97699999999999</v>
      </c>
      <c r="I39" s="44">
        <f>SUM(I35:I38)+SUM(I28:I32)</f>
        <v>156935.495</v>
      </c>
      <c r="J39" s="42">
        <f>SUM(J35:J38)+SUM(J28:J32)</f>
        <v>28004</v>
      </c>
      <c r="K39" s="42">
        <f>SUM(K35:K38)+SUM(K28:K32)</f>
        <v>54755.75</v>
      </c>
      <c r="L39" s="42">
        <f>SUM(L35:L38)+SUM(L28:L32)</f>
        <v>76156</v>
      </c>
      <c r="M39" s="144">
        <f>SUM(J39:L39)</f>
        <v>158915.75</v>
      </c>
      <c r="N39" s="43">
        <f>SUM(N28:N32)+SUM(N35:N38)</f>
        <v>0</v>
      </c>
      <c r="O39" s="44">
        <f>SUM(O35:O38)+SUM(O28:O32)</f>
        <v>158915.75</v>
      </c>
      <c r="P39" s="42">
        <f>SUM(P35:P38)+SUM(P28:P32)</f>
        <v>11446.952799999999</v>
      </c>
      <c r="Q39" s="42">
        <f>SUM(Q35:Q38)+SUM(Q28:Q32)</f>
        <v>26162.907999999999</v>
      </c>
      <c r="R39" s="42">
        <f>SUM(R35:R38)+SUM(R28:R32)</f>
        <v>40548.698000000004</v>
      </c>
      <c r="S39" s="144">
        <f>SUM(P39:R39)</f>
        <v>78158.558799999999</v>
      </c>
      <c r="T39" s="43">
        <f>SUM(T28:T32)+SUM(T35:T38)</f>
        <v>2.9039999999999999</v>
      </c>
      <c r="U39" s="44">
        <f>SUM(U35:U38)+SUM(U28:U32)</f>
        <v>78161.462800000008</v>
      </c>
      <c r="V39" s="42">
        <f>SUM(V35:V38)+SUM(V28:V32)</f>
        <v>28647</v>
      </c>
      <c r="W39" s="42">
        <f>SUM(W35:W38)+SUM(W28:W32)</f>
        <v>58148</v>
      </c>
      <c r="X39" s="42">
        <f>SUM(X35:X38)+SUM(X28:X32)</f>
        <v>81747</v>
      </c>
      <c r="Y39" s="144">
        <f>SUM(V39:X39)</f>
        <v>168542</v>
      </c>
      <c r="Z39" s="43">
        <f>SUM(Z28:Z32)+SUM(Z35:Z38)</f>
        <v>0</v>
      </c>
      <c r="AA39" s="44">
        <f>SUM(AA35:AA38)+SUM(AA28:AA32)</f>
        <v>168542</v>
      </c>
      <c r="AB39" s="150">
        <f>(AA39/O39)</f>
        <v>1.0605745497221011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0</v>
      </c>
      <c r="E40" s="109">
        <f>E24-E39</f>
        <v>3.4000000006926712E-2</v>
      </c>
      <c r="F40" s="109">
        <f>F24-F39</f>
        <v>-3.2999999981257133E-2</v>
      </c>
      <c r="G40" s="118">
        <f>G24-G39</f>
        <v>1.0000000474974513E-3</v>
      </c>
      <c r="H40" s="118">
        <f>H24-H39</f>
        <v>14.852000000000018</v>
      </c>
      <c r="I40" s="119">
        <f>I24-I39</f>
        <v>14.853000000002794</v>
      </c>
      <c r="J40" s="109">
        <f>J24-J39</f>
        <v>0</v>
      </c>
      <c r="K40" s="109">
        <f>K24-K39</f>
        <v>0</v>
      </c>
      <c r="L40" s="109">
        <f>L24-L39</f>
        <v>0</v>
      </c>
      <c r="M40" s="118">
        <f>M24-M39</f>
        <v>0</v>
      </c>
      <c r="N40" s="118">
        <f>N24-N39</f>
        <v>0</v>
      </c>
      <c r="O40" s="119">
        <f>O24-O39</f>
        <v>0</v>
      </c>
      <c r="P40" s="109">
        <f>P24-P39</f>
        <v>8307.0472000000009</v>
      </c>
      <c r="Q40" s="109">
        <f>Q24-Q39</f>
        <v>27489.87</v>
      </c>
      <c r="R40" s="109">
        <f>R24-R39</f>
        <v>2034.0179999999964</v>
      </c>
      <c r="S40" s="118">
        <f>S24-S39</f>
        <v>37830.935199999993</v>
      </c>
      <c r="T40" s="118">
        <f>T24-T39</f>
        <v>101.45200000000001</v>
      </c>
      <c r="U40" s="119">
        <f>U24-U39</f>
        <v>37932.387199999983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151" t="e">
        <f>(AA40/O40)</f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-22593.956999999999</v>
      </c>
      <c r="J41" s="112"/>
      <c r="K41" s="113"/>
      <c r="L41" s="113"/>
      <c r="M41" s="114"/>
      <c r="N41" s="117"/>
      <c r="O41" s="116">
        <f>O40-J16</f>
        <v>-28004</v>
      </c>
      <c r="P41" s="112"/>
      <c r="Q41" s="113"/>
      <c r="R41" s="113"/>
      <c r="S41" s="114"/>
      <c r="T41" s="117"/>
      <c r="U41" s="116">
        <f>U40-P16</f>
        <v>18178.387199999983</v>
      </c>
      <c r="V41" s="112"/>
      <c r="W41" s="113"/>
      <c r="X41" s="113"/>
      <c r="Y41" s="114"/>
      <c r="Z41" s="117"/>
      <c r="AA41" s="116">
        <f>AA40-V16</f>
        <v>-28647</v>
      </c>
      <c r="AB41" s="145">
        <f>(AA41/O41)</f>
        <v>1.0229610055706329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/>
      <c r="E44" s="104"/>
      <c r="F44" s="105">
        <v>5971.2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14">
        <f>F46+G46</f>
        <v>0</v>
      </c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9200</v>
      </c>
      <c r="K47" s="97">
        <v>0</v>
      </c>
      <c r="L47" s="147"/>
      <c r="M47" s="147"/>
      <c r="N47" s="4"/>
      <c r="O47" s="4"/>
      <c r="P47" s="94"/>
      <c r="Q47" s="97">
        <v>0</v>
      </c>
      <c r="R47" s="4"/>
      <c r="S47" s="4"/>
      <c r="T47" s="4"/>
      <c r="U47" s="4"/>
      <c r="V47" s="94">
        <v>2000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/>
      <c r="E50" s="85"/>
      <c r="F50" s="85"/>
      <c r="G50" s="52">
        <f>D50+E50-F50</f>
        <v>0</v>
      </c>
      <c r="H50" s="49"/>
      <c r="I50" s="4"/>
      <c r="J50" s="85"/>
      <c r="K50" s="85"/>
      <c r="L50" s="85"/>
      <c r="M50" s="52">
        <f>J50+K50-L50</f>
        <v>0</v>
      </c>
      <c r="N50" s="4"/>
      <c r="O50" s="4"/>
      <c r="P50" s="85"/>
      <c r="Q50" s="85"/>
      <c r="R50" s="85"/>
      <c r="S50" s="52">
        <f>P50+Q50-R50</f>
        <v>0</v>
      </c>
      <c r="T50" s="4"/>
      <c r="U50" s="4"/>
      <c r="V50" s="85"/>
      <c r="W50" s="85"/>
      <c r="X50" s="85"/>
      <c r="Y50" s="52">
        <f>V50+W50-X50</f>
        <v>0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128.44</v>
      </c>
      <c r="E51" s="85">
        <v>159.22399999999999</v>
      </c>
      <c r="F51" s="85">
        <v>68.305999999999997</v>
      </c>
      <c r="G51" s="52">
        <f>D51+E51-F51</f>
        <v>219.358</v>
      </c>
      <c r="H51" s="49"/>
      <c r="I51" s="4"/>
      <c r="J51" s="85">
        <v>119.5</v>
      </c>
      <c r="K51" s="85">
        <v>0</v>
      </c>
      <c r="L51" s="85">
        <v>0</v>
      </c>
      <c r="M51" s="52">
        <f>J51+K51-L51</f>
        <v>119.5</v>
      </c>
      <c r="N51" s="4"/>
      <c r="O51" s="4"/>
      <c r="P51" s="85">
        <v>219.358</v>
      </c>
      <c r="Q51" s="85">
        <v>0</v>
      </c>
      <c r="R51" s="85">
        <v>11.74</v>
      </c>
      <c r="S51" s="52">
        <f>P51+Q51-R51</f>
        <v>207.61799999999999</v>
      </c>
      <c r="T51" s="4"/>
      <c r="U51" s="4"/>
      <c r="V51" s="85">
        <v>119.5</v>
      </c>
      <c r="W51" s="85">
        <v>0</v>
      </c>
      <c r="X51" s="85">
        <v>0</v>
      </c>
      <c r="Y51" s="52">
        <f>V51+W51-X51</f>
        <v>119.5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627.73400000000004</v>
      </c>
      <c r="E52" s="85">
        <v>10481.75</v>
      </c>
      <c r="F52" s="85">
        <v>10871.787</v>
      </c>
      <c r="G52" s="52">
        <f>D52+E52-F52</f>
        <v>237.69700000000012</v>
      </c>
      <c r="H52" s="49"/>
      <c r="I52" s="4"/>
      <c r="J52" s="85">
        <v>700</v>
      </c>
      <c r="K52" s="85">
        <v>10783</v>
      </c>
      <c r="L52" s="85">
        <v>11341</v>
      </c>
      <c r="M52" s="52">
        <f>J52+K52-L52</f>
        <v>142</v>
      </c>
      <c r="N52" s="4"/>
      <c r="O52" s="4"/>
      <c r="P52" s="85">
        <v>237.697</v>
      </c>
      <c r="Q52" s="85">
        <v>750.49099999999999</v>
      </c>
      <c r="R52" s="85">
        <v>511.47800000000001</v>
      </c>
      <c r="S52" s="52">
        <f>P52+Q52-R52</f>
        <v>476.71</v>
      </c>
      <c r="T52" s="4"/>
      <c r="U52" s="4"/>
      <c r="V52" s="85">
        <v>700</v>
      </c>
      <c r="W52" s="85">
        <v>10800</v>
      </c>
      <c r="X52" s="85">
        <v>11300</v>
      </c>
      <c r="Y52" s="52">
        <f>V52+W52-X52</f>
        <v>200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109.587</v>
      </c>
      <c r="E53" s="85">
        <v>0</v>
      </c>
      <c r="F53" s="85">
        <v>0</v>
      </c>
      <c r="G53" s="52">
        <f>D53+E53-F53</f>
        <v>109.587</v>
      </c>
      <c r="H53" s="49"/>
      <c r="I53" s="4"/>
      <c r="J53" s="85">
        <v>109.587</v>
      </c>
      <c r="K53" s="85">
        <v>0</v>
      </c>
      <c r="L53" s="85">
        <v>0</v>
      </c>
      <c r="M53" s="52">
        <f>J53+K53-L53</f>
        <v>109.587</v>
      </c>
      <c r="N53" s="4"/>
      <c r="O53" s="4"/>
      <c r="P53" s="85">
        <v>109.6</v>
      </c>
      <c r="Q53" s="85">
        <v>2.4</v>
      </c>
      <c r="R53" s="85">
        <v>0</v>
      </c>
      <c r="S53" s="52">
        <f>P53+Q53-R53</f>
        <v>112</v>
      </c>
      <c r="T53" s="4"/>
      <c r="U53" s="4"/>
      <c r="V53" s="85">
        <v>109.6</v>
      </c>
      <c r="W53" s="85">
        <v>0</v>
      </c>
      <c r="X53" s="85">
        <v>0</v>
      </c>
      <c r="Y53" s="52">
        <f>V53+W53-X53</f>
        <v>109.6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308.74099999999999</v>
      </c>
      <c r="E54" s="85">
        <v>1631.2360000000001</v>
      </c>
      <c r="F54" s="85">
        <v>1834.9079999999999</v>
      </c>
      <c r="G54" s="52">
        <f>D54+E54-F54</f>
        <v>105.06900000000019</v>
      </c>
      <c r="H54" s="49"/>
      <c r="I54" s="4"/>
      <c r="J54" s="85">
        <v>586.5</v>
      </c>
      <c r="K54" s="85">
        <v>1660</v>
      </c>
      <c r="L54" s="85">
        <v>1600</v>
      </c>
      <c r="M54" s="52">
        <f>J54+K54-L54</f>
        <v>646.5</v>
      </c>
      <c r="N54" s="4"/>
      <c r="O54" s="4"/>
      <c r="P54" s="85">
        <v>105.069</v>
      </c>
      <c r="Q54" s="85">
        <v>421.04</v>
      </c>
      <c r="R54" s="85">
        <v>231.64</v>
      </c>
      <c r="S54" s="52">
        <f>P54+Q54-R54</f>
        <v>294.46900000000005</v>
      </c>
      <c r="T54" s="4"/>
      <c r="U54" s="4"/>
      <c r="V54" s="85">
        <v>646.5</v>
      </c>
      <c r="W54" s="85">
        <v>886.5</v>
      </c>
      <c r="X54" s="85">
        <v>1000</v>
      </c>
      <c r="Y54" s="52">
        <f>V54+W54-X54</f>
        <v>533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200.11699999999999</v>
      </c>
      <c r="E57" s="86">
        <v>213</v>
      </c>
      <c r="F57" s="49"/>
      <c r="G57" s="49"/>
      <c r="H57" s="49"/>
      <c r="I57" s="50"/>
      <c r="J57" s="86">
        <v>203.5</v>
      </c>
      <c r="K57" s="49"/>
      <c r="L57" s="49"/>
      <c r="M57" s="49"/>
      <c r="N57" s="49"/>
      <c r="O57" s="50"/>
      <c r="P57" s="86">
        <v>209.04499999999999</v>
      </c>
      <c r="Q57" s="50"/>
      <c r="R57" s="50"/>
      <c r="S57" s="50"/>
      <c r="T57" s="50"/>
      <c r="U57" s="50"/>
      <c r="V57" s="86">
        <v>213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474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471" t="s">
        <v>139</v>
      </c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470" t="s">
        <v>138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470" t="s">
        <v>137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470" t="s">
        <v>136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4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470" t="s">
        <v>135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46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471" t="s">
        <v>134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470" t="s">
        <v>133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470" t="s">
        <v>132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470" t="s">
        <v>131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4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471" t="s">
        <v>130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470" t="s">
        <v>129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470" t="s">
        <v>128</v>
      </c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470" t="s">
        <v>127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4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468" t="s">
        <v>126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8" t="s">
        <v>125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8" t="s">
        <v>124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24"/>
      <c r="C82" s="91"/>
      <c r="D82" s="91"/>
      <c r="E82" s="91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43"/>
      <c r="C83" s="140"/>
      <c r="D83" s="2"/>
      <c r="E83" s="2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24"/>
      <c r="C84" s="125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34"/>
      <c r="C86" s="135"/>
      <c r="D86" s="136"/>
      <c r="E86" s="13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4"/>
      <c r="W86" s="154"/>
      <c r="X86" s="154"/>
      <c r="Y86" s="154"/>
      <c r="Z86" s="154"/>
      <c r="AA86" s="154"/>
      <c r="AB86" s="155"/>
      <c r="AC86" s="4"/>
      <c r="AD86" s="4"/>
    </row>
    <row r="87" spans="1:30" x14ac:dyDescent="0.25">
      <c r="A87" s="87"/>
      <c r="B87" s="138"/>
      <c r="C87" s="137"/>
      <c r="D87" s="138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0">
        <v>45579</v>
      </c>
      <c r="D90" s="53" t="s">
        <v>76</v>
      </c>
      <c r="E90" s="216" t="s">
        <v>123</v>
      </c>
      <c r="F90" s="216"/>
      <c r="G90" s="216"/>
      <c r="H90" s="53"/>
      <c r="I90" s="53" t="s">
        <v>77</v>
      </c>
      <c r="J90" s="223" t="s">
        <v>122</v>
      </c>
      <c r="K90" s="223"/>
      <c r="L90" s="223"/>
      <c r="M90" s="22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</sheetData>
  <mergeCells count="62">
    <mergeCell ref="B10:B13"/>
    <mergeCell ref="J10:O10"/>
    <mergeCell ref="J11:M11"/>
    <mergeCell ref="J12:O12"/>
    <mergeCell ref="J13:L13"/>
    <mergeCell ref="M13:M14"/>
    <mergeCell ref="N13:N14"/>
    <mergeCell ref="G13:G14"/>
    <mergeCell ref="H13:H14"/>
    <mergeCell ref="I13:I14"/>
    <mergeCell ref="D25:I25"/>
    <mergeCell ref="D26:F26"/>
    <mergeCell ref="G26:G27"/>
    <mergeCell ref="P12:U12"/>
    <mergeCell ref="P13:R13"/>
    <mergeCell ref="D59:U59"/>
    <mergeCell ref="B26:B27"/>
    <mergeCell ref="O13:O14"/>
    <mergeCell ref="J25:O25"/>
    <mergeCell ref="J26:L26"/>
    <mergeCell ref="M26:M27"/>
    <mergeCell ref="N26:N27"/>
    <mergeCell ref="O26:O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90:G90"/>
    <mergeCell ref="J90:M90"/>
    <mergeCell ref="B81:U81"/>
    <mergeCell ref="H26:H27"/>
    <mergeCell ref="I26:I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73" priority="3" operator="equal">
      <formula>0</formula>
    </cfRule>
    <cfRule type="containsErrors" dxfId="72" priority="4">
      <formula>ISERROR(AB15)</formula>
    </cfRule>
  </conditionalFormatting>
  <conditionalFormatting sqref="AB28:AB41">
    <cfRule type="cellIs" dxfId="71" priority="1" operator="equal">
      <formula>0</formula>
    </cfRule>
    <cfRule type="containsErrors" dxfId="7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D133"/>
  <sheetViews>
    <sheetView showGridLines="0" zoomScale="80" zoomScaleNormal="80" zoomScaleSheetLayoutView="80" workbookViewId="0">
      <selection activeCell="E60" sqref="E6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36.7109375" customWidth="1"/>
    <col min="4" max="4" width="16.5703125" customWidth="1"/>
    <col min="5" max="5" width="17.85546875" customWidth="1"/>
    <col min="6" max="6" width="16.85546875" customWidth="1"/>
    <col min="7" max="7" width="21.28515625" bestFit="1" customWidth="1"/>
    <col min="8" max="8" width="14.140625" customWidth="1"/>
    <col min="9" max="9" width="14.85546875" customWidth="1"/>
    <col min="10" max="10" width="16.140625" customWidth="1"/>
    <col min="11" max="11" width="17.85546875" customWidth="1"/>
    <col min="12" max="12" width="13.7109375" customWidth="1"/>
    <col min="13" max="13" width="23.42578125" style="224" bestFit="1" customWidth="1"/>
    <col min="14" max="14" width="15.5703125" customWidth="1"/>
    <col min="15" max="15" width="18.7109375" customWidth="1"/>
    <col min="16" max="18" width="16.42578125" customWidth="1"/>
    <col min="19" max="19" width="21.140625" customWidth="1"/>
    <col min="20" max="20" width="16.42578125" customWidth="1"/>
    <col min="21" max="21" width="14.85546875" customWidth="1"/>
    <col min="22" max="22" width="16.140625" bestFit="1" customWidth="1"/>
    <col min="23" max="23" width="14.140625" bestFit="1" customWidth="1"/>
    <col min="24" max="24" width="16.42578125" customWidth="1"/>
    <col min="25" max="25" width="17.7109375" customWidth="1"/>
    <col min="26" max="26" width="15.140625" customWidth="1"/>
    <col min="27" max="27" width="19.14062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159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79065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158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112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>
        <v>0</v>
      </c>
      <c r="E15" s="430">
        <v>0</v>
      </c>
      <c r="F15" s="429">
        <v>23434114.959999997</v>
      </c>
      <c r="G15" s="428">
        <f>SUM(D15:F15)</f>
        <v>23434114.959999997</v>
      </c>
      <c r="H15" s="410">
        <v>21624199.280000001</v>
      </c>
      <c r="I15" s="320">
        <f>G15+H15</f>
        <v>45058314.239999995</v>
      </c>
      <c r="J15" s="435">
        <v>0</v>
      </c>
      <c r="K15" s="434">
        <v>0</v>
      </c>
      <c r="L15" s="433">
        <v>16690000</v>
      </c>
      <c r="M15" s="432">
        <f>SUM(J15:L15)</f>
        <v>16690000</v>
      </c>
      <c r="N15" s="411">
        <v>17100000</v>
      </c>
      <c r="O15" s="321">
        <f>M15+N15</f>
        <v>33790000</v>
      </c>
      <c r="P15" s="431">
        <v>0</v>
      </c>
      <c r="Q15" s="430">
        <v>0</v>
      </c>
      <c r="R15" s="429">
        <v>12907883.93</v>
      </c>
      <c r="S15" s="428">
        <f>SUM(P15:R15)</f>
        <v>12907883.93</v>
      </c>
      <c r="T15" s="410">
        <v>10941444.259999998</v>
      </c>
      <c r="U15" s="320">
        <f>S15+T15</f>
        <v>23849328.189999998</v>
      </c>
      <c r="V15" s="431">
        <v>0</v>
      </c>
      <c r="W15" s="430">
        <v>0</v>
      </c>
      <c r="X15" s="429">
        <v>23000000</v>
      </c>
      <c r="Y15" s="428">
        <f>SUM(V15:X15)</f>
        <v>23000000</v>
      </c>
      <c r="Z15" s="410">
        <v>22000000</v>
      </c>
      <c r="AA15" s="320">
        <f>Y15+Z15</f>
        <v>45000000</v>
      </c>
      <c r="AB15" s="280">
        <f>(AA15/O15)</f>
        <v>1.3317549570878959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169016600</v>
      </c>
      <c r="E16" s="403">
        <v>0</v>
      </c>
      <c r="F16" s="403">
        <v>0</v>
      </c>
      <c r="G16" s="401">
        <f>SUM(D16:F16)</f>
        <v>169016600</v>
      </c>
      <c r="H16" s="423">
        <v>0</v>
      </c>
      <c r="I16" s="320">
        <f>G16+H16</f>
        <v>169016600</v>
      </c>
      <c r="J16" s="426">
        <v>171816600</v>
      </c>
      <c r="K16" s="408">
        <v>0</v>
      </c>
      <c r="L16" s="408">
        <v>0</v>
      </c>
      <c r="M16" s="406">
        <f>SUM(J16:L16)</f>
        <v>171816600</v>
      </c>
      <c r="N16" s="425">
        <v>0</v>
      </c>
      <c r="O16" s="321">
        <f>M16+N16</f>
        <v>171816600</v>
      </c>
      <c r="P16" s="424">
        <v>85908300</v>
      </c>
      <c r="Q16" s="403">
        <v>0</v>
      </c>
      <c r="R16" s="403">
        <v>0</v>
      </c>
      <c r="S16" s="401">
        <f>SUM(P16:R16)</f>
        <v>85908300</v>
      </c>
      <c r="T16" s="423">
        <v>0</v>
      </c>
      <c r="U16" s="320">
        <f>S16+T16</f>
        <v>85908300</v>
      </c>
      <c r="V16" s="424">
        <v>182750000</v>
      </c>
      <c r="W16" s="403">
        <v>0</v>
      </c>
      <c r="X16" s="403">
        <v>0</v>
      </c>
      <c r="Y16" s="401">
        <f>SUM(V16:X16)</f>
        <v>182750000</v>
      </c>
      <c r="Z16" s="423">
        <v>0</v>
      </c>
      <c r="AA16" s="320">
        <f>Y16+Z16</f>
        <v>182750000</v>
      </c>
      <c r="AB16" s="280">
        <f>(AA16/O16)</f>
        <v>1.0636341308115747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>
        <v>0</v>
      </c>
      <c r="E17" s="413">
        <v>0</v>
      </c>
      <c r="F17" s="413">
        <v>0</v>
      </c>
      <c r="G17" s="401">
        <f>SUM(D17:F17)</f>
        <v>0</v>
      </c>
      <c r="H17" s="419">
        <v>0</v>
      </c>
      <c r="I17" s="320">
        <f>G17+H17</f>
        <v>0</v>
      </c>
      <c r="J17" s="421">
        <v>0</v>
      </c>
      <c r="K17" s="416">
        <v>0</v>
      </c>
      <c r="L17" s="416">
        <v>0</v>
      </c>
      <c r="M17" s="406">
        <f>SUM(J17:L17)</f>
        <v>0</v>
      </c>
      <c r="N17" s="420">
        <v>0</v>
      </c>
      <c r="O17" s="321">
        <f>M17+N17</f>
        <v>0</v>
      </c>
      <c r="P17" s="58">
        <v>0</v>
      </c>
      <c r="Q17" s="413">
        <v>0</v>
      </c>
      <c r="R17" s="413">
        <v>0</v>
      </c>
      <c r="S17" s="401">
        <f>SUM(P17:R17)</f>
        <v>0</v>
      </c>
      <c r="T17" s="419">
        <v>0</v>
      </c>
      <c r="U17" s="320">
        <f>S17+T17</f>
        <v>0</v>
      </c>
      <c r="V17" s="58">
        <v>0</v>
      </c>
      <c r="W17" s="413">
        <v>0</v>
      </c>
      <c r="X17" s="413">
        <v>0</v>
      </c>
      <c r="Y17" s="401">
        <f>SUM(V17:X17)</f>
        <v>0</v>
      </c>
      <c r="Z17" s="419">
        <v>0</v>
      </c>
      <c r="AA17" s="320">
        <f>Y17+Z17</f>
        <v>0</v>
      </c>
      <c r="AB17" s="280" t="e">
        <f>(AA17/O17)</f>
        <v>#DIV/0!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>
        <v>0</v>
      </c>
      <c r="E18" s="60">
        <v>0</v>
      </c>
      <c r="F18" s="413">
        <v>0</v>
      </c>
      <c r="G18" s="401">
        <f>SUM(D18:F18)</f>
        <v>0</v>
      </c>
      <c r="H18" s="410">
        <v>0</v>
      </c>
      <c r="I18" s="320">
        <f>G18+H18</f>
        <v>0</v>
      </c>
      <c r="J18" s="409">
        <v>0</v>
      </c>
      <c r="K18" s="415">
        <v>0</v>
      </c>
      <c r="L18" s="416">
        <v>0</v>
      </c>
      <c r="M18" s="406">
        <f>SUM(J18:L18)</f>
        <v>0</v>
      </c>
      <c r="N18" s="411">
        <v>0</v>
      </c>
      <c r="O18" s="321">
        <f>M18+N18</f>
        <v>0</v>
      </c>
      <c r="P18" s="404">
        <v>0</v>
      </c>
      <c r="Q18" s="60">
        <v>0</v>
      </c>
      <c r="R18" s="413">
        <v>0</v>
      </c>
      <c r="S18" s="401">
        <f>SUM(P18:R18)</f>
        <v>0</v>
      </c>
      <c r="T18" s="410">
        <v>0</v>
      </c>
      <c r="U18" s="320">
        <f>S18+T18</f>
        <v>0</v>
      </c>
      <c r="V18" s="404">
        <v>0</v>
      </c>
      <c r="W18" s="60">
        <v>0</v>
      </c>
      <c r="X18" s="413">
        <v>0</v>
      </c>
      <c r="Y18" s="401">
        <f>SUM(V18:X18)</f>
        <v>0</v>
      </c>
      <c r="Z18" s="410">
        <v>0</v>
      </c>
      <c r="AA18" s="320">
        <f>Y18+Z18</f>
        <v>0</v>
      </c>
      <c r="AB18" s="280" t="e">
        <f>(AA18/O18)</f>
        <v>#DIV/0!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>
        <v>0</v>
      </c>
      <c r="E19" s="413">
        <v>0</v>
      </c>
      <c r="F19" s="60">
        <v>0</v>
      </c>
      <c r="G19" s="401">
        <f>SUM(D19:F19)</f>
        <v>0</v>
      </c>
      <c r="H19" s="410">
        <v>0</v>
      </c>
      <c r="I19" s="320">
        <f>G19+H19</f>
        <v>0</v>
      </c>
      <c r="J19" s="417">
        <v>0</v>
      </c>
      <c r="K19" s="416">
        <v>0</v>
      </c>
      <c r="L19" s="415">
        <v>0</v>
      </c>
      <c r="M19" s="406">
        <f>SUM(J19:L19)</f>
        <v>0</v>
      </c>
      <c r="N19" s="411">
        <v>0</v>
      </c>
      <c r="O19" s="321">
        <f>M19+N19</f>
        <v>0</v>
      </c>
      <c r="P19" s="414">
        <v>0</v>
      </c>
      <c r="Q19" s="413">
        <v>0</v>
      </c>
      <c r="R19" s="60">
        <v>0</v>
      </c>
      <c r="S19" s="401">
        <f>SUM(P19:R19)</f>
        <v>0</v>
      </c>
      <c r="T19" s="410">
        <v>0</v>
      </c>
      <c r="U19" s="320">
        <f>S19+T19</f>
        <v>0</v>
      </c>
      <c r="V19" s="414">
        <v>0</v>
      </c>
      <c r="W19" s="413">
        <v>0</v>
      </c>
      <c r="X19" s="60">
        <v>0</v>
      </c>
      <c r="Y19" s="401">
        <f>SUM(V19:X19)</f>
        <v>0</v>
      </c>
      <c r="Z19" s="410">
        <v>0</v>
      </c>
      <c r="AA19" s="320">
        <f>Y19+Z19</f>
        <v>0</v>
      </c>
      <c r="AB19" s="280" t="e">
        <f>(AA19/O19)</f>
        <v>#DIV/0!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>
        <v>0</v>
      </c>
      <c r="E20" s="403">
        <v>0</v>
      </c>
      <c r="F20" s="402">
        <v>287260.17</v>
      </c>
      <c r="G20" s="401">
        <f>SUM(D20:F20)</f>
        <v>287260.17</v>
      </c>
      <c r="H20" s="410">
        <v>0</v>
      </c>
      <c r="I20" s="320">
        <f>G20+H20</f>
        <v>287260.17</v>
      </c>
      <c r="J20" s="409">
        <v>0</v>
      </c>
      <c r="K20" s="408">
        <v>0</v>
      </c>
      <c r="L20" s="407">
        <v>3770000</v>
      </c>
      <c r="M20" s="406">
        <f>SUM(J20:L20)</f>
        <v>3770000</v>
      </c>
      <c r="N20" s="411">
        <v>0</v>
      </c>
      <c r="O20" s="321">
        <f>M20+N20</f>
        <v>3770000</v>
      </c>
      <c r="P20" s="404">
        <v>0</v>
      </c>
      <c r="Q20" s="403">
        <v>0</v>
      </c>
      <c r="R20" s="402">
        <v>65772</v>
      </c>
      <c r="S20" s="401">
        <f>SUM(P20:R20)</f>
        <v>65772</v>
      </c>
      <c r="T20" s="410">
        <v>0</v>
      </c>
      <c r="U20" s="320">
        <f>S20+T20</f>
        <v>65772</v>
      </c>
      <c r="V20" s="404">
        <v>0</v>
      </c>
      <c r="W20" s="403">
        <v>0</v>
      </c>
      <c r="X20" s="402">
        <v>0</v>
      </c>
      <c r="Y20" s="401">
        <f>SUM(V20:X20)</f>
        <v>0</v>
      </c>
      <c r="Z20" s="410">
        <v>0</v>
      </c>
      <c r="AA20" s="320">
        <f>Y20+Z20</f>
        <v>0</v>
      </c>
      <c r="AB20" s="280">
        <f>(AA20/O20)</f>
        <v>0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>
        <v>0</v>
      </c>
      <c r="E21" s="403">
        <v>0</v>
      </c>
      <c r="F21" s="402">
        <v>4071186.62</v>
      </c>
      <c r="G21" s="401">
        <f>SUM(D21:F21)</f>
        <v>4071186.62</v>
      </c>
      <c r="H21" s="400">
        <v>55150.83</v>
      </c>
      <c r="I21" s="320">
        <f>G21+H21</f>
        <v>4126337.45</v>
      </c>
      <c r="J21" s="409">
        <v>0</v>
      </c>
      <c r="K21" s="408">
        <v>0</v>
      </c>
      <c r="L21" s="407">
        <v>3200000</v>
      </c>
      <c r="M21" s="406">
        <f>SUM(J21:L21)</f>
        <v>3200000</v>
      </c>
      <c r="N21" s="405">
        <v>0</v>
      </c>
      <c r="O21" s="321">
        <f>M21+N21</f>
        <v>3200000</v>
      </c>
      <c r="P21" s="404">
        <v>0</v>
      </c>
      <c r="Q21" s="403">
        <v>0</v>
      </c>
      <c r="R21" s="402">
        <v>2370326.2599999998</v>
      </c>
      <c r="S21" s="401">
        <f>SUM(P21:R21)</f>
        <v>2370326.2599999998</v>
      </c>
      <c r="T21" s="400">
        <v>9061.5500000000011</v>
      </c>
      <c r="U21" s="320">
        <f>S21+T21</f>
        <v>2379387.8099999996</v>
      </c>
      <c r="V21" s="404">
        <v>0</v>
      </c>
      <c r="W21" s="403">
        <v>0</v>
      </c>
      <c r="X21" s="402">
        <v>3200000</v>
      </c>
      <c r="Y21" s="401">
        <f>SUM(V21:X21)</f>
        <v>3200000</v>
      </c>
      <c r="Z21" s="400">
        <v>0</v>
      </c>
      <c r="AA21" s="320">
        <f>Y21+Z21</f>
        <v>3200000</v>
      </c>
      <c r="AB21" s="280">
        <f>(AA21/O21)</f>
        <v>1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>
        <v>0</v>
      </c>
      <c r="E22" s="403">
        <v>0</v>
      </c>
      <c r="F22" s="402">
        <v>0</v>
      </c>
      <c r="G22" s="401">
        <f>SUM(D22:F22)</f>
        <v>0</v>
      </c>
      <c r="H22" s="400">
        <v>0</v>
      </c>
      <c r="I22" s="320">
        <f>G22+H22</f>
        <v>0</v>
      </c>
      <c r="J22" s="409">
        <v>0</v>
      </c>
      <c r="K22" s="408">
        <v>0</v>
      </c>
      <c r="L22" s="407">
        <v>0</v>
      </c>
      <c r="M22" s="406">
        <f>SUM(J22:L22)</f>
        <v>0</v>
      </c>
      <c r="N22" s="405">
        <v>0</v>
      </c>
      <c r="O22" s="321">
        <f>M22+N22</f>
        <v>0</v>
      </c>
      <c r="P22" s="404">
        <v>0</v>
      </c>
      <c r="Q22" s="403">
        <v>0</v>
      </c>
      <c r="R22" s="402">
        <v>0</v>
      </c>
      <c r="S22" s="401">
        <f>SUM(P22:R22)</f>
        <v>0</v>
      </c>
      <c r="T22" s="400">
        <v>0</v>
      </c>
      <c r="U22" s="320">
        <f>S22+T22</f>
        <v>0</v>
      </c>
      <c r="V22" s="404">
        <v>0</v>
      </c>
      <c r="W22" s="403">
        <v>0</v>
      </c>
      <c r="X22" s="402">
        <v>0</v>
      </c>
      <c r="Y22" s="401">
        <f>SUM(V22:X22)</f>
        <v>0</v>
      </c>
      <c r="Z22" s="400">
        <v>0</v>
      </c>
      <c r="AA22" s="320">
        <f>Y22+Z22</f>
        <v>0</v>
      </c>
      <c r="AB22" s="280" t="e">
        <f>(AA22/O22)</f>
        <v>#DIV/0!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>
        <v>1079057.8500000001</v>
      </c>
      <c r="E23" s="391">
        <v>0</v>
      </c>
      <c r="F23" s="390">
        <v>1079057.8500000001</v>
      </c>
      <c r="G23" s="389">
        <f>SUM(D23:F23)</f>
        <v>2158115.7000000002</v>
      </c>
      <c r="H23" s="388">
        <v>0</v>
      </c>
      <c r="I23" s="309">
        <f>G23+H23</f>
        <v>2158115.7000000002</v>
      </c>
      <c r="J23" s="397">
        <v>0</v>
      </c>
      <c r="K23" s="396">
        <v>0</v>
      </c>
      <c r="L23" s="395">
        <v>0</v>
      </c>
      <c r="M23" s="394">
        <f>SUM(J23:L23)</f>
        <v>0</v>
      </c>
      <c r="N23" s="393">
        <v>0</v>
      </c>
      <c r="O23" s="313">
        <f>M23+N23</f>
        <v>0</v>
      </c>
      <c r="P23" s="392">
        <v>0</v>
      </c>
      <c r="Q23" s="391">
        <v>0</v>
      </c>
      <c r="R23" s="390">
        <v>267011.01</v>
      </c>
      <c r="S23" s="389">
        <f>SUM(P23:R23)</f>
        <v>267011.01</v>
      </c>
      <c r="T23" s="388">
        <v>0</v>
      </c>
      <c r="U23" s="309">
        <f>S23+T23</f>
        <v>267011.01</v>
      </c>
      <c r="V23" s="392">
        <v>0</v>
      </c>
      <c r="W23" s="391">
        <v>0</v>
      </c>
      <c r="X23" s="390">
        <v>0</v>
      </c>
      <c r="Y23" s="389">
        <f>SUM(V23:X23)</f>
        <v>0</v>
      </c>
      <c r="Z23" s="388">
        <v>0</v>
      </c>
      <c r="AA23" s="309">
        <f>Y23+Z23</f>
        <v>0</v>
      </c>
      <c r="AB23" s="308" t="e">
        <f>(AA23/O23)</f>
        <v>#DIV/0!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169016600</v>
      </c>
      <c r="E24" s="381">
        <f>SUM(E15:E21)</f>
        <v>0</v>
      </c>
      <c r="F24" s="381">
        <f>SUM(F15:F21)</f>
        <v>27792561.75</v>
      </c>
      <c r="G24" s="380">
        <f>SUM(D24:F24)</f>
        <v>196809161.75</v>
      </c>
      <c r="H24" s="379">
        <f>SUM(H15:H21)</f>
        <v>21679350.109999999</v>
      </c>
      <c r="I24" s="379">
        <f>SUM(I15:I21)</f>
        <v>218488511.85999998</v>
      </c>
      <c r="J24" s="386">
        <f>SUM(J15:J21)</f>
        <v>171816600</v>
      </c>
      <c r="K24" s="385">
        <f>SUM(K15:K21)</f>
        <v>0</v>
      </c>
      <c r="L24" s="385">
        <f>SUM(L15:L21)</f>
        <v>23660000</v>
      </c>
      <c r="M24" s="384">
        <f>SUM(J24:L24)</f>
        <v>195476600</v>
      </c>
      <c r="N24" s="383">
        <f>SUM(N15:N21)</f>
        <v>17100000</v>
      </c>
      <c r="O24" s="383">
        <f>SUM(O15:O21)</f>
        <v>212576600</v>
      </c>
      <c r="P24" s="382">
        <f>SUM(P15:P21)</f>
        <v>85908300</v>
      </c>
      <c r="Q24" s="381">
        <f>SUM(Q15:Q21)</f>
        <v>0</v>
      </c>
      <c r="R24" s="381">
        <f>SUM(R15:R21)</f>
        <v>15343982.189999999</v>
      </c>
      <c r="S24" s="380">
        <f>SUM(P24:R24)</f>
        <v>101252282.19</v>
      </c>
      <c r="T24" s="379">
        <f>SUM(T15:T21)</f>
        <v>10950505.809999999</v>
      </c>
      <c r="U24" s="379">
        <f>SUM(U15:U21)</f>
        <v>112202788</v>
      </c>
      <c r="V24" s="382">
        <f>SUM(V15:V21)</f>
        <v>182750000</v>
      </c>
      <c r="W24" s="381">
        <f>SUM(W15:W21)</f>
        <v>0</v>
      </c>
      <c r="X24" s="381">
        <f>SUM(X15:X21)</f>
        <v>26200000</v>
      </c>
      <c r="Y24" s="380">
        <f>SUM(V24:X24)</f>
        <v>208950000</v>
      </c>
      <c r="Z24" s="379">
        <f>SUM(Z15:Z21)</f>
        <v>22000000</v>
      </c>
      <c r="AA24" s="379">
        <f>SUM(AA15:AA21)</f>
        <v>230950000</v>
      </c>
      <c r="AB24" s="378">
        <f>(AA24/O24)</f>
        <v>1.0864319026647336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367" t="s">
        <v>112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354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339"/>
      <c r="AC27" s="4"/>
      <c r="AD27" s="4"/>
    </row>
    <row r="28" spans="1:30" x14ac:dyDescent="0.25">
      <c r="A28" s="4"/>
      <c r="B28" s="338" t="s">
        <v>19</v>
      </c>
      <c r="C28" s="337" t="s">
        <v>10</v>
      </c>
      <c r="D28" s="431">
        <v>6685920.1062672315</v>
      </c>
      <c r="E28" s="430">
        <v>0</v>
      </c>
      <c r="F28" s="429">
        <v>927001.37373276765</v>
      </c>
      <c r="G28" s="332">
        <f>SUM(D28:F28)</f>
        <v>7612921.4799999995</v>
      </c>
      <c r="H28" s="410">
        <v>146842.56</v>
      </c>
      <c r="I28" s="331">
        <f>G28+H28</f>
        <v>7759764.0399999991</v>
      </c>
      <c r="J28" s="489">
        <v>5880000</v>
      </c>
      <c r="K28" s="488">
        <v>0</v>
      </c>
      <c r="L28" s="488">
        <v>1020000</v>
      </c>
      <c r="M28" s="336">
        <f>SUM(J28:L28)</f>
        <v>6900000</v>
      </c>
      <c r="N28" s="336">
        <v>30000</v>
      </c>
      <c r="O28" s="335">
        <f>M28+N28</f>
        <v>6930000</v>
      </c>
      <c r="P28" s="334">
        <v>3569727.5066090175</v>
      </c>
      <c r="Q28" s="333">
        <v>0</v>
      </c>
      <c r="R28" s="333">
        <v>536358.28339098208</v>
      </c>
      <c r="S28" s="332">
        <f>SUM(P28:R28)</f>
        <v>4106085.7899999996</v>
      </c>
      <c r="T28" s="332">
        <v>22160</v>
      </c>
      <c r="U28" s="331">
        <f>S28+T28</f>
        <v>4128245.7899999996</v>
      </c>
      <c r="V28" s="334">
        <v>6980000</v>
      </c>
      <c r="W28" s="333">
        <v>0</v>
      </c>
      <c r="X28" s="333">
        <v>1020000</v>
      </c>
      <c r="Y28" s="332">
        <f>SUM(V28:X28)</f>
        <v>8000000</v>
      </c>
      <c r="Z28" s="332">
        <v>130000</v>
      </c>
      <c r="AA28" s="331">
        <f>Y28+Z28</f>
        <v>8130000</v>
      </c>
      <c r="AB28" s="280">
        <f>(AA28/O28)</f>
        <v>1.1731601731601731</v>
      </c>
      <c r="AC28" s="4"/>
      <c r="AD28" s="4"/>
    </row>
    <row r="29" spans="1:30" x14ac:dyDescent="0.25">
      <c r="A29" s="4"/>
      <c r="B29" s="326" t="s">
        <v>20</v>
      </c>
      <c r="C29" s="325" t="s">
        <v>12</v>
      </c>
      <c r="D29" s="323">
        <v>11503918.748674696</v>
      </c>
      <c r="E29" s="323">
        <v>0</v>
      </c>
      <c r="F29" s="323">
        <v>1595015.8413253028</v>
      </c>
      <c r="G29" s="315">
        <f>SUM(D29:F29)</f>
        <v>13098934.59</v>
      </c>
      <c r="H29" s="315">
        <v>2547747.1</v>
      </c>
      <c r="I29" s="320">
        <f>G29+H29</f>
        <v>15646681.689999999</v>
      </c>
      <c r="J29" s="487">
        <v>10564966</v>
      </c>
      <c r="K29" s="486">
        <v>0</v>
      </c>
      <c r="L29" s="486">
        <v>1430000</v>
      </c>
      <c r="M29" s="322">
        <f>SUM(J29:L29)</f>
        <v>11994966</v>
      </c>
      <c r="N29" s="322">
        <v>2300000</v>
      </c>
      <c r="O29" s="321">
        <f>M29+N29</f>
        <v>14294966</v>
      </c>
      <c r="P29" s="324">
        <v>5852048.2368918061</v>
      </c>
      <c r="Q29" s="323">
        <v>0</v>
      </c>
      <c r="R29" s="323">
        <v>879281.27310819295</v>
      </c>
      <c r="S29" s="315">
        <f>SUM(P29:R29)</f>
        <v>6731329.5099999988</v>
      </c>
      <c r="T29" s="315">
        <v>1477595.3499999999</v>
      </c>
      <c r="U29" s="320">
        <f>S29+T29</f>
        <v>8208924.8599999985</v>
      </c>
      <c r="V29" s="324">
        <v>10692366</v>
      </c>
      <c r="W29" s="323">
        <v>0</v>
      </c>
      <c r="X29" s="323">
        <v>1430000</v>
      </c>
      <c r="Y29" s="315">
        <f>SUM(V29:X29)</f>
        <v>12122366</v>
      </c>
      <c r="Z29" s="315">
        <v>2300000</v>
      </c>
      <c r="AA29" s="320">
        <f>Y29+Z29</f>
        <v>14422366</v>
      </c>
      <c r="AB29" s="280">
        <f>(AA29/O29)</f>
        <v>1.0089122282627325</v>
      </c>
      <c r="AC29" s="4"/>
      <c r="AD29" s="4"/>
    </row>
    <row r="30" spans="1:30" x14ac:dyDescent="0.25">
      <c r="A30" s="4"/>
      <c r="B30" s="326" t="s">
        <v>22</v>
      </c>
      <c r="C30" s="325" t="s">
        <v>14</v>
      </c>
      <c r="D30" s="323">
        <v>11533445.0793286</v>
      </c>
      <c r="E30" s="323">
        <v>0</v>
      </c>
      <c r="F30" s="323">
        <v>1599109.6606713939</v>
      </c>
      <c r="G30" s="315">
        <f>SUM(D30:F30)</f>
        <v>13132554.739999995</v>
      </c>
      <c r="H30" s="315">
        <v>152324.94999999998</v>
      </c>
      <c r="I30" s="320">
        <f>G30+H30</f>
        <v>13284879.689999994</v>
      </c>
      <c r="J30" s="487">
        <v>19011472</v>
      </c>
      <c r="K30" s="486">
        <v>0</v>
      </c>
      <c r="L30" s="486">
        <v>1700000</v>
      </c>
      <c r="M30" s="322">
        <f>SUM(J30:L30)</f>
        <v>20711472</v>
      </c>
      <c r="N30" s="322">
        <v>70000</v>
      </c>
      <c r="O30" s="321">
        <f>M30+N30</f>
        <v>20781472</v>
      </c>
      <c r="P30" s="324">
        <v>8133575.5670396695</v>
      </c>
      <c r="Q30" s="323">
        <v>0</v>
      </c>
      <c r="R30" s="323">
        <v>1222085.0529603306</v>
      </c>
      <c r="S30" s="315">
        <f>SUM(P30:R30)</f>
        <v>9355660.620000001</v>
      </c>
      <c r="T30" s="315">
        <v>64538.7</v>
      </c>
      <c r="U30" s="320">
        <f>S30+T30</f>
        <v>9420199.3200000003</v>
      </c>
      <c r="V30" s="324">
        <v>19011472</v>
      </c>
      <c r="W30" s="323">
        <v>0</v>
      </c>
      <c r="X30" s="323">
        <v>1700000</v>
      </c>
      <c r="Y30" s="315">
        <f>SUM(V30:X30)</f>
        <v>20711472</v>
      </c>
      <c r="Z30" s="315">
        <v>70000</v>
      </c>
      <c r="AA30" s="320">
        <f>Y30+Z30</f>
        <v>20781472</v>
      </c>
      <c r="AB30" s="280">
        <f>(AA30/O30)</f>
        <v>1</v>
      </c>
      <c r="AC30" s="4"/>
      <c r="AD30" s="4"/>
    </row>
    <row r="31" spans="1:30" x14ac:dyDescent="0.25">
      <c r="A31" s="4"/>
      <c r="B31" s="326" t="s">
        <v>24</v>
      </c>
      <c r="C31" s="325" t="s">
        <v>16</v>
      </c>
      <c r="D31" s="323">
        <v>37817409.138849132</v>
      </c>
      <c r="E31" s="323">
        <v>0</v>
      </c>
      <c r="F31" s="323">
        <v>5243375.5811508764</v>
      </c>
      <c r="G31" s="315">
        <f>SUM(D31:F31)</f>
        <v>43060784.720000006</v>
      </c>
      <c r="H31" s="315">
        <v>4975197.63</v>
      </c>
      <c r="I31" s="320">
        <f>G31+H31</f>
        <v>48035982.350000009</v>
      </c>
      <c r="J31" s="487">
        <v>34404789</v>
      </c>
      <c r="K31" s="486">
        <v>0</v>
      </c>
      <c r="L31" s="486">
        <v>5000000</v>
      </c>
      <c r="M31" s="322">
        <f>SUM(J31:L31)</f>
        <v>39404789</v>
      </c>
      <c r="N31" s="322">
        <v>4000000</v>
      </c>
      <c r="O31" s="321">
        <f>M31+N31</f>
        <v>43404789</v>
      </c>
      <c r="P31" s="324">
        <v>18837847.736291904</v>
      </c>
      <c r="Q31" s="323">
        <v>0</v>
      </c>
      <c r="R31" s="323">
        <v>2830422.1137080947</v>
      </c>
      <c r="S31" s="315">
        <f>SUM(P31:R31)</f>
        <v>21668269.849999998</v>
      </c>
      <c r="T31" s="315">
        <v>2312418.5</v>
      </c>
      <c r="U31" s="320">
        <f>S31+T31</f>
        <v>23980688.349999998</v>
      </c>
      <c r="V31" s="324">
        <v>36404789</v>
      </c>
      <c r="W31" s="323">
        <v>0</v>
      </c>
      <c r="X31" s="323">
        <v>5000000</v>
      </c>
      <c r="Y31" s="315">
        <f>SUM(V31:X31)</f>
        <v>41404789</v>
      </c>
      <c r="Z31" s="315">
        <v>4000000</v>
      </c>
      <c r="AA31" s="320">
        <f>Y31+Z31</f>
        <v>45404789</v>
      </c>
      <c r="AB31" s="280">
        <f>(AA31/O31)</f>
        <v>1.0460778648180964</v>
      </c>
      <c r="AC31" s="4"/>
      <c r="AD31" s="4"/>
    </row>
    <row r="32" spans="1:30" x14ac:dyDescent="0.25">
      <c r="A32" s="4"/>
      <c r="B32" s="326" t="s">
        <v>26</v>
      </c>
      <c r="C32" s="325" t="s">
        <v>18</v>
      </c>
      <c r="D32" s="328">
        <v>58746013.025676936</v>
      </c>
      <c r="E32" s="323">
        <v>0</v>
      </c>
      <c r="F32" s="323">
        <v>8145121.9743230585</v>
      </c>
      <c r="G32" s="315">
        <f>SUM(D32:F32)</f>
        <v>66891134.999999993</v>
      </c>
      <c r="H32" s="315">
        <v>3879604</v>
      </c>
      <c r="I32" s="320">
        <f>G32+H32</f>
        <v>70770739</v>
      </c>
      <c r="J32" s="487">
        <v>60810348</v>
      </c>
      <c r="K32" s="486">
        <v>0</v>
      </c>
      <c r="L32" s="486">
        <v>8100000</v>
      </c>
      <c r="M32" s="322">
        <f>SUM(J32:L32)</f>
        <v>68910348</v>
      </c>
      <c r="N32" s="322">
        <v>3300000</v>
      </c>
      <c r="O32" s="321">
        <f>M32+N32</f>
        <v>72210348</v>
      </c>
      <c r="P32" s="327">
        <v>28957489.556897484</v>
      </c>
      <c r="Q32" s="323">
        <v>0</v>
      </c>
      <c r="R32" s="323">
        <v>4350917.3631025152</v>
      </c>
      <c r="S32" s="315">
        <f>SUM(P32:R32)</f>
        <v>33308406.919999998</v>
      </c>
      <c r="T32" s="315">
        <v>2045153.08</v>
      </c>
      <c r="U32" s="320">
        <f>S32+T32</f>
        <v>35353560</v>
      </c>
      <c r="V32" s="324">
        <v>67055348</v>
      </c>
      <c r="W32" s="323">
        <v>0</v>
      </c>
      <c r="X32" s="323">
        <v>8100000</v>
      </c>
      <c r="Y32" s="315">
        <f>SUM(V32:X32)</f>
        <v>75155348</v>
      </c>
      <c r="Z32" s="315">
        <v>3300000</v>
      </c>
      <c r="AA32" s="320">
        <f>Y32+Z32</f>
        <v>78455348</v>
      </c>
      <c r="AB32" s="280">
        <f>(AA32/O32)</f>
        <v>1.0864834497127753</v>
      </c>
      <c r="AC32" s="4"/>
      <c r="AD32" s="4"/>
    </row>
    <row r="33" spans="1:30" x14ac:dyDescent="0.25">
      <c r="A33" s="4"/>
      <c r="B33" s="326" t="s">
        <v>28</v>
      </c>
      <c r="C33" s="330" t="s">
        <v>42</v>
      </c>
      <c r="D33" s="328">
        <v>57720512.457239866</v>
      </c>
      <c r="E33" s="323">
        <v>0</v>
      </c>
      <c r="F33" s="323">
        <v>8002936.5427601263</v>
      </c>
      <c r="G33" s="315">
        <f>SUM(D33:F33)</f>
        <v>65723448.999999993</v>
      </c>
      <c r="H33" s="315">
        <v>3879604</v>
      </c>
      <c r="I33" s="320">
        <f>G33+H33</f>
        <v>69603053</v>
      </c>
      <c r="J33" s="487">
        <v>59910348</v>
      </c>
      <c r="K33" s="486">
        <v>0</v>
      </c>
      <c r="L33" s="486">
        <v>7900000</v>
      </c>
      <c r="M33" s="322">
        <f>SUM(J33:L33)</f>
        <v>67810348</v>
      </c>
      <c r="N33" s="322">
        <v>3300000</v>
      </c>
      <c r="O33" s="321">
        <f>M33+N33</f>
        <v>71110348</v>
      </c>
      <c r="P33" s="327">
        <v>28559860.127774477</v>
      </c>
      <c r="Q33" s="323">
        <v>0</v>
      </c>
      <c r="R33" s="323">
        <v>4291172.7922255229</v>
      </c>
      <c r="S33" s="315">
        <f>SUM(P33:R33)</f>
        <v>32851032.920000002</v>
      </c>
      <c r="T33" s="315">
        <v>2045153.08</v>
      </c>
      <c r="U33" s="320">
        <f>S33+T33</f>
        <v>34896186</v>
      </c>
      <c r="V33" s="324">
        <v>66155348</v>
      </c>
      <c r="W33" s="323">
        <v>0</v>
      </c>
      <c r="X33" s="323">
        <v>7900000</v>
      </c>
      <c r="Y33" s="315">
        <f>SUM(V33:X33)</f>
        <v>74055348</v>
      </c>
      <c r="Z33" s="315">
        <v>3300000</v>
      </c>
      <c r="AA33" s="320">
        <f>Y33+Z33</f>
        <v>77355348</v>
      </c>
      <c r="AB33" s="280">
        <f>(AA33/O33)</f>
        <v>1.087821254931842</v>
      </c>
      <c r="AC33" s="4"/>
      <c r="AD33" s="4"/>
    </row>
    <row r="34" spans="1:30" x14ac:dyDescent="0.25">
      <c r="A34" s="4"/>
      <c r="B34" s="326" t="s">
        <v>30</v>
      </c>
      <c r="C34" s="329" t="s">
        <v>21</v>
      </c>
      <c r="D34" s="328">
        <v>1025500.5684370672</v>
      </c>
      <c r="E34" s="323">
        <v>0</v>
      </c>
      <c r="F34" s="323">
        <v>142185.43156293273</v>
      </c>
      <c r="G34" s="315">
        <f>SUM(D34:F34)</f>
        <v>1167686</v>
      </c>
      <c r="H34" s="315">
        <v>0</v>
      </c>
      <c r="I34" s="320">
        <f>G34+H34</f>
        <v>1167686</v>
      </c>
      <c r="J34" s="487">
        <v>900000</v>
      </c>
      <c r="K34" s="486">
        <v>0</v>
      </c>
      <c r="L34" s="486">
        <v>200000</v>
      </c>
      <c r="M34" s="322">
        <f>SUM(J34:L34)</f>
        <v>1100000</v>
      </c>
      <c r="N34" s="322">
        <v>0</v>
      </c>
      <c r="O34" s="321">
        <f>M34+N34</f>
        <v>1100000</v>
      </c>
      <c r="P34" s="327">
        <v>397629.4291230074</v>
      </c>
      <c r="Q34" s="323">
        <v>0</v>
      </c>
      <c r="R34" s="323">
        <v>59744.57087699257</v>
      </c>
      <c r="S34" s="315">
        <f>SUM(P34:R34)</f>
        <v>457374</v>
      </c>
      <c r="T34" s="315">
        <v>0</v>
      </c>
      <c r="U34" s="320">
        <f>S34+T34</f>
        <v>457374</v>
      </c>
      <c r="V34" s="324">
        <v>900000</v>
      </c>
      <c r="W34" s="323">
        <v>0</v>
      </c>
      <c r="X34" s="323">
        <v>200000</v>
      </c>
      <c r="Y34" s="315">
        <f>SUM(V34:X34)</f>
        <v>1100000</v>
      </c>
      <c r="Z34" s="315">
        <v>0</v>
      </c>
      <c r="AA34" s="320">
        <f>Y34+Z34</f>
        <v>1100000</v>
      </c>
      <c r="AB34" s="280">
        <f>(AA34/O34)</f>
        <v>1</v>
      </c>
      <c r="AC34" s="4"/>
      <c r="AD34" s="4"/>
    </row>
    <row r="35" spans="1:30" x14ac:dyDescent="0.25">
      <c r="A35" s="4"/>
      <c r="B35" s="326" t="s">
        <v>32</v>
      </c>
      <c r="C35" s="325" t="s">
        <v>23</v>
      </c>
      <c r="D35" s="328">
        <v>20872890.390955977</v>
      </c>
      <c r="E35" s="323">
        <v>0</v>
      </c>
      <c r="F35" s="323">
        <v>2894021.7290440211</v>
      </c>
      <c r="G35" s="315">
        <f>SUM(D35:F35)</f>
        <v>23766912.119999997</v>
      </c>
      <c r="H35" s="315">
        <v>1467886.1600000001</v>
      </c>
      <c r="I35" s="320">
        <f>G35+H35</f>
        <v>25234798.279999997</v>
      </c>
      <c r="J35" s="487">
        <v>20465618</v>
      </c>
      <c r="K35" s="486">
        <v>0</v>
      </c>
      <c r="L35" s="486">
        <v>2670000</v>
      </c>
      <c r="M35" s="322">
        <f>SUM(J35:L35)</f>
        <v>23135618</v>
      </c>
      <c r="N35" s="322">
        <v>1150000</v>
      </c>
      <c r="O35" s="321">
        <f>M35+N35</f>
        <v>24285618</v>
      </c>
      <c r="P35" s="327">
        <v>10025194.672544343</v>
      </c>
      <c r="Q35" s="323">
        <v>0</v>
      </c>
      <c r="R35" s="323">
        <v>1506304.387455656</v>
      </c>
      <c r="S35" s="315">
        <f>SUM(P35:R35)</f>
        <v>11531499.059999999</v>
      </c>
      <c r="T35" s="315">
        <v>750106.37</v>
      </c>
      <c r="U35" s="320">
        <f>S35+T35</f>
        <v>12281605.429999998</v>
      </c>
      <c r="V35" s="324">
        <v>22714618</v>
      </c>
      <c r="W35" s="323">
        <v>0</v>
      </c>
      <c r="X35" s="323">
        <v>2670000</v>
      </c>
      <c r="Y35" s="315">
        <f>SUM(V35:X35)</f>
        <v>25384618</v>
      </c>
      <c r="Z35" s="315">
        <v>1150000</v>
      </c>
      <c r="AA35" s="320">
        <f>Y35+Z35</f>
        <v>26534618</v>
      </c>
      <c r="AB35" s="280">
        <f>(AA35/O35)</f>
        <v>1.0926062495094833</v>
      </c>
      <c r="AC35" s="4"/>
      <c r="AD35" s="4"/>
    </row>
    <row r="36" spans="1:30" x14ac:dyDescent="0.25">
      <c r="A36" s="4"/>
      <c r="B36" s="326" t="s">
        <v>33</v>
      </c>
      <c r="C36" s="325" t="s">
        <v>25</v>
      </c>
      <c r="D36" s="323">
        <v>61361.290386405941</v>
      </c>
      <c r="E36" s="323">
        <v>0</v>
      </c>
      <c r="F36" s="323">
        <v>8507.7296135940469</v>
      </c>
      <c r="G36" s="315">
        <f>SUM(D36:F36)</f>
        <v>69869.01999999999</v>
      </c>
      <c r="H36" s="315">
        <v>105572.46</v>
      </c>
      <c r="I36" s="320">
        <f>G36+H36</f>
        <v>175441.47999999998</v>
      </c>
      <c r="J36" s="487">
        <v>60000</v>
      </c>
      <c r="K36" s="486">
        <v>0</v>
      </c>
      <c r="L36" s="486">
        <v>10000</v>
      </c>
      <c r="M36" s="322">
        <f>SUM(J36:L36)</f>
        <v>70000</v>
      </c>
      <c r="N36" s="322">
        <v>250000</v>
      </c>
      <c r="O36" s="321">
        <f>M36+N36</f>
        <v>320000</v>
      </c>
      <c r="P36" s="324">
        <v>27802.606058398109</v>
      </c>
      <c r="Q36" s="323">
        <v>0</v>
      </c>
      <c r="R36" s="323">
        <v>4177.3939416018884</v>
      </c>
      <c r="S36" s="315">
        <f>SUM(P36:R36)</f>
        <v>31979.999999999996</v>
      </c>
      <c r="T36" s="315">
        <v>-3048.83</v>
      </c>
      <c r="U36" s="320">
        <f>S36+T36</f>
        <v>28931.17</v>
      </c>
      <c r="V36" s="324">
        <v>60000</v>
      </c>
      <c r="W36" s="323">
        <v>0</v>
      </c>
      <c r="X36" s="323">
        <v>10000</v>
      </c>
      <c r="Y36" s="315">
        <f>SUM(V36:X36)</f>
        <v>70000</v>
      </c>
      <c r="Z36" s="315">
        <v>250000</v>
      </c>
      <c r="AA36" s="320">
        <f>Y36+Z36</f>
        <v>320000</v>
      </c>
      <c r="AB36" s="280">
        <f>(AA36/O36)</f>
        <v>1</v>
      </c>
      <c r="AC36" s="4"/>
      <c r="AD36" s="4"/>
    </row>
    <row r="37" spans="1:30" x14ac:dyDescent="0.25">
      <c r="A37" s="4"/>
      <c r="B37" s="326" t="s">
        <v>34</v>
      </c>
      <c r="C37" s="325" t="s">
        <v>27</v>
      </c>
      <c r="D37" s="323">
        <v>16172095.503346648</v>
      </c>
      <c r="E37" s="323">
        <v>0</v>
      </c>
      <c r="F37" s="323">
        <v>2242257.5366533487</v>
      </c>
      <c r="G37" s="315">
        <f>SUM(D37:F37)</f>
        <v>18414353.039999995</v>
      </c>
      <c r="H37" s="315">
        <v>2287165.6300000004</v>
      </c>
      <c r="I37" s="320">
        <f>G37+H37</f>
        <v>20701518.669999994</v>
      </c>
      <c r="J37" s="487">
        <v>17516407</v>
      </c>
      <c r="K37" s="486">
        <v>0</v>
      </c>
      <c r="L37" s="486">
        <v>2250000</v>
      </c>
      <c r="M37" s="322">
        <f>SUM(J37:L37)</f>
        <v>19766407</v>
      </c>
      <c r="N37" s="322">
        <v>1000000</v>
      </c>
      <c r="O37" s="321">
        <f>M37+N37</f>
        <v>20766407</v>
      </c>
      <c r="P37" s="324">
        <v>8314548.2590975016</v>
      </c>
      <c r="Q37" s="323">
        <v>0</v>
      </c>
      <c r="R37" s="323">
        <v>1249276.5409024984</v>
      </c>
      <c r="S37" s="315">
        <f>SUM(P37:R37)</f>
        <v>9563824.8000000007</v>
      </c>
      <c r="T37" s="315">
        <v>1040778.2000000001</v>
      </c>
      <c r="U37" s="320">
        <f>S37+T37</f>
        <v>10604603</v>
      </c>
      <c r="V37" s="324">
        <v>21828407</v>
      </c>
      <c r="W37" s="323">
        <v>0</v>
      </c>
      <c r="X37" s="323">
        <v>2250000</v>
      </c>
      <c r="Y37" s="315">
        <f>SUM(V37:X37)</f>
        <v>24078407</v>
      </c>
      <c r="Z37" s="315">
        <v>1000000</v>
      </c>
      <c r="AA37" s="320">
        <f>Y37+Z37</f>
        <v>25078407</v>
      </c>
      <c r="AB37" s="280">
        <f>(AA37/O37)</f>
        <v>1.2076430458095133</v>
      </c>
      <c r="AC37" s="4"/>
      <c r="AD37" s="4"/>
    </row>
    <row r="38" spans="1:30" ht="15.75" thickBot="1" x14ac:dyDescent="0.3">
      <c r="A38" s="4"/>
      <c r="B38" s="317" t="s">
        <v>35</v>
      </c>
      <c r="C38" s="316" t="s">
        <v>29</v>
      </c>
      <c r="D38" s="311">
        <v>10403752.166816564</v>
      </c>
      <c r="E38" s="311">
        <v>0</v>
      </c>
      <c r="F38" s="311">
        <v>1442477.9831834768</v>
      </c>
      <c r="G38" s="315">
        <f>SUM(D38:F38)</f>
        <v>11846230.150000041</v>
      </c>
      <c r="H38" s="310">
        <v>2799801.29</v>
      </c>
      <c r="I38" s="309">
        <f>G38+H38</f>
        <v>14646031.440000042</v>
      </c>
      <c r="J38" s="485">
        <v>6200000</v>
      </c>
      <c r="K38" s="484">
        <v>0</v>
      </c>
      <c r="L38" s="484">
        <v>1100000</v>
      </c>
      <c r="M38" s="314">
        <f>SUM(J38:L38)</f>
        <v>7300000</v>
      </c>
      <c r="N38" s="314">
        <v>2283000</v>
      </c>
      <c r="O38" s="313">
        <f>M38+N38</f>
        <v>9583000</v>
      </c>
      <c r="P38" s="312">
        <v>6197892.7214941271</v>
      </c>
      <c r="Q38" s="311">
        <v>0</v>
      </c>
      <c r="R38" s="311">
        <v>931245.05850584863</v>
      </c>
      <c r="S38" s="310">
        <f>SUM(P38:R38)</f>
        <v>7129137.779999976</v>
      </c>
      <c r="T38" s="310">
        <v>1178290.8500000003</v>
      </c>
      <c r="U38" s="309">
        <f>S38+T38</f>
        <v>8307428.6299999766</v>
      </c>
      <c r="V38" s="312">
        <v>8440000</v>
      </c>
      <c r="W38" s="311">
        <v>0</v>
      </c>
      <c r="X38" s="311">
        <v>1100000</v>
      </c>
      <c r="Y38" s="310">
        <f>SUM(V38:X38)</f>
        <v>9540000</v>
      </c>
      <c r="Z38" s="310">
        <v>2283000</v>
      </c>
      <c r="AA38" s="309">
        <f>Y38+Z38</f>
        <v>11823000</v>
      </c>
      <c r="AB38" s="308">
        <f>(AA38/O38)</f>
        <v>1.2337472607742879</v>
      </c>
      <c r="AC38" s="4"/>
      <c r="AD38" s="4"/>
    </row>
    <row r="39" spans="1:30" ht="15.75" thickBot="1" x14ac:dyDescent="0.3">
      <c r="A39" s="4"/>
      <c r="B39" s="307" t="s">
        <v>48</v>
      </c>
      <c r="C39" s="306" t="s">
        <v>31</v>
      </c>
      <c r="D39" s="301">
        <f>SUM(D35:D38)+SUM(D28:D32)</f>
        <v>173796805.45030218</v>
      </c>
      <c r="E39" s="301">
        <f>SUM(E35:E38)+SUM(E28:E32)</f>
        <v>0</v>
      </c>
      <c r="F39" s="301">
        <f>SUM(F35:F38)+SUM(F28:F32)</f>
        <v>24096889.409697838</v>
      </c>
      <c r="G39" s="300">
        <f>SUM(D39:F39)</f>
        <v>197893694.86000001</v>
      </c>
      <c r="H39" s="299">
        <f>SUM(H28:H32)+SUM(H35:H38)</f>
        <v>18362141.780000001</v>
      </c>
      <c r="I39" s="298">
        <f>SUM(I35:I38)+SUM(I28:I32)</f>
        <v>216255836.64000002</v>
      </c>
      <c r="J39" s="305">
        <f>SUM(J35:J38)+SUM(J28:J32)</f>
        <v>174913600</v>
      </c>
      <c r="K39" s="305">
        <f>SUM(K35:K38)+SUM(K28:K32)</f>
        <v>0</v>
      </c>
      <c r="L39" s="305">
        <f>SUM(L35:L38)+SUM(L28:L32)</f>
        <v>23280000</v>
      </c>
      <c r="M39" s="304">
        <f>SUM(J39:L39)</f>
        <v>198193600</v>
      </c>
      <c r="N39" s="303">
        <f>SUM(N28:N32)+SUM(N35:N38)</f>
        <v>14383000</v>
      </c>
      <c r="O39" s="302">
        <f>SUM(O35:O38)+SUM(O28:O32)</f>
        <v>212576600</v>
      </c>
      <c r="P39" s="301">
        <f>SUM(P35:P38)+SUM(P28:P32)</f>
        <v>89916126.862924248</v>
      </c>
      <c r="Q39" s="301">
        <f>SUM(Q35:Q38)+SUM(Q28:Q32)</f>
        <v>0</v>
      </c>
      <c r="R39" s="301">
        <f>SUM(R35:R38)+SUM(R28:R32)</f>
        <v>13510067.46707572</v>
      </c>
      <c r="S39" s="300">
        <f>SUM(P39:R39)</f>
        <v>103426194.32999997</v>
      </c>
      <c r="T39" s="299">
        <f>SUM(T28:T32)+SUM(T35:T38)</f>
        <v>8887992.2200000007</v>
      </c>
      <c r="U39" s="298">
        <f>SUM(U35:U38)+SUM(U28:U32)</f>
        <v>112314186.54999997</v>
      </c>
      <c r="V39" s="301">
        <f>SUM(V35:V38)+SUM(V28:V32)</f>
        <v>193187000</v>
      </c>
      <c r="W39" s="301">
        <f>SUM(W35:W38)+SUM(W28:W32)</f>
        <v>0</v>
      </c>
      <c r="X39" s="301">
        <f>SUM(X35:X38)+SUM(X28:X32)</f>
        <v>23280000</v>
      </c>
      <c r="Y39" s="300">
        <f>SUM(V39:X39)</f>
        <v>216467000</v>
      </c>
      <c r="Z39" s="299">
        <f>SUM(Z28:Z32)+SUM(Z35:Z38)</f>
        <v>14483000</v>
      </c>
      <c r="AA39" s="298">
        <f>SUM(AA28:AA38)-AA33-AA34</f>
        <v>230950000</v>
      </c>
      <c r="AB39" s="297">
        <f>(AA39/O39)</f>
        <v>1.0864319026647336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292">
        <f>D24-D39</f>
        <v>-4780205.4503021836</v>
      </c>
      <c r="E40" s="292">
        <f>E24-E39</f>
        <v>0</v>
      </c>
      <c r="F40" s="292">
        <f>F24-F39</f>
        <v>3695672.3403021619</v>
      </c>
      <c r="G40" s="291">
        <f>G24-G39</f>
        <v>-1084533.1100000143</v>
      </c>
      <c r="H40" s="291">
        <f>H24-H39</f>
        <v>3317208.3299999982</v>
      </c>
      <c r="I40" s="290">
        <f>I24-I39</f>
        <v>2232675.219999969</v>
      </c>
      <c r="J40" s="292">
        <f>J24-J39</f>
        <v>-3097000</v>
      </c>
      <c r="K40" s="292">
        <f>K24-K39</f>
        <v>0</v>
      </c>
      <c r="L40" s="292">
        <f>L24-L39</f>
        <v>380000</v>
      </c>
      <c r="M40" s="294">
        <f>M24-M39</f>
        <v>-2717000</v>
      </c>
      <c r="N40" s="294">
        <f>N24-N39</f>
        <v>2717000</v>
      </c>
      <c r="O40" s="293">
        <f>O24-O39</f>
        <v>0</v>
      </c>
      <c r="P40" s="292">
        <f>P24-P39</f>
        <v>-4007826.862924248</v>
      </c>
      <c r="Q40" s="292">
        <f>Q24-Q39</f>
        <v>0</v>
      </c>
      <c r="R40" s="292">
        <f>R24-R39</f>
        <v>1833914.722924279</v>
      </c>
      <c r="S40" s="291">
        <f>S24-S39</f>
        <v>-2173912.1399999708</v>
      </c>
      <c r="T40" s="291">
        <f>T24-T39</f>
        <v>2062513.589999998</v>
      </c>
      <c r="U40" s="290">
        <f>U24-U39</f>
        <v>-111398.54999996722</v>
      </c>
      <c r="V40" s="292">
        <f>V24-V39</f>
        <v>-10437000</v>
      </c>
      <c r="W40" s="292">
        <f>W24-W39</f>
        <v>0</v>
      </c>
      <c r="X40" s="292">
        <f>X24-X39</f>
        <v>2920000</v>
      </c>
      <c r="Y40" s="291">
        <f>Y24-Y39</f>
        <v>-7517000</v>
      </c>
      <c r="Z40" s="291">
        <f>Z24-Z39</f>
        <v>7517000</v>
      </c>
      <c r="AA40" s="290">
        <f>AA24-AA39</f>
        <v>0</v>
      </c>
      <c r="AB40" s="289" t="e">
        <f>(AA40/O40)</f>
        <v>#DIV/0!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285"/>
      <c r="E41" s="284"/>
      <c r="F41" s="284"/>
      <c r="G41" s="283"/>
      <c r="H41" s="286"/>
      <c r="I41" s="281">
        <f>I40-D16</f>
        <v>-166783924.78000003</v>
      </c>
      <c r="J41" s="285"/>
      <c r="K41" s="284"/>
      <c r="L41" s="284"/>
      <c r="M41" s="283"/>
      <c r="N41" s="282"/>
      <c r="O41" s="281">
        <f>O40-J16</f>
        <v>-171816600</v>
      </c>
      <c r="P41" s="285"/>
      <c r="Q41" s="284"/>
      <c r="R41" s="284"/>
      <c r="S41" s="283"/>
      <c r="T41" s="282"/>
      <c r="U41" s="281">
        <f>U40-P16</f>
        <v>-86019698.549999967</v>
      </c>
      <c r="V41" s="285"/>
      <c r="W41" s="284"/>
      <c r="X41" s="284"/>
      <c r="Y41" s="283"/>
      <c r="Z41" s="282"/>
      <c r="AA41" s="281">
        <f>AA40-V16</f>
        <v>-182750000</v>
      </c>
      <c r="AB41" s="280">
        <f>(AA41/O41)</f>
        <v>1.0636341308115747</v>
      </c>
      <c r="AC41" s="4"/>
      <c r="AD41" s="4"/>
    </row>
    <row r="42" spans="1:30" ht="8.25" customHeight="1" thickBot="1" x14ac:dyDescent="0.3">
      <c r="A42" s="4"/>
      <c r="B42" s="272"/>
      <c r="C42" s="164"/>
      <c r="D42" s="279"/>
      <c r="E42" s="256"/>
      <c r="F42" s="256"/>
      <c r="G42" s="4"/>
      <c r="H42" s="256"/>
      <c r="I42" s="256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106" t="s">
        <v>41</v>
      </c>
      <c r="E43" s="278" t="s">
        <v>83</v>
      </c>
      <c r="F43" s="277" t="s">
        <v>36</v>
      </c>
      <c r="G43" s="256"/>
      <c r="H43" s="256"/>
      <c r="I43" s="255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106" t="s">
        <v>41</v>
      </c>
      <c r="W43" s="278" t="s">
        <v>83</v>
      </c>
      <c r="X43" s="277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272"/>
      <c r="C44" s="276"/>
      <c r="D44" s="266">
        <v>0</v>
      </c>
      <c r="E44" s="275">
        <v>0</v>
      </c>
      <c r="F44" s="274">
        <v>0</v>
      </c>
      <c r="G44" s="256"/>
      <c r="H44" s="256"/>
      <c r="I44" s="255"/>
      <c r="J44" s="266">
        <v>0</v>
      </c>
      <c r="K44" s="275">
        <v>0</v>
      </c>
      <c r="L44" s="274">
        <v>0</v>
      </c>
      <c r="M44" s="273"/>
      <c r="N44" s="273"/>
      <c r="O44" s="273"/>
      <c r="P44" s="266">
        <v>0</v>
      </c>
      <c r="Q44" s="275">
        <v>0</v>
      </c>
      <c r="R44" s="274">
        <v>0</v>
      </c>
      <c r="S44" s="4"/>
      <c r="T44" s="4"/>
      <c r="U44" s="4"/>
      <c r="V44" s="266"/>
      <c r="W44" s="275"/>
      <c r="X44" s="274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272"/>
      <c r="C45" s="164"/>
      <c r="D45" s="273"/>
      <c r="E45" s="256"/>
      <c r="F45" s="256"/>
      <c r="G45" s="256"/>
      <c r="H45" s="256"/>
      <c r="I45" s="255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95" t="s">
        <v>86</v>
      </c>
      <c r="E46" s="269" t="s">
        <v>84</v>
      </c>
      <c r="F46" s="256"/>
      <c r="G46" s="256"/>
      <c r="H46" s="256"/>
      <c r="I46" s="255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4"/>
      <c r="T46" s="4"/>
      <c r="U46" s="4"/>
      <c r="V46" s="95" t="s">
        <v>86</v>
      </c>
      <c r="W46" s="269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257"/>
      <c r="C47" s="268"/>
      <c r="D47" s="266">
        <v>0</v>
      </c>
      <c r="E47" s="265">
        <v>0</v>
      </c>
      <c r="F47" s="256"/>
      <c r="G47" s="256"/>
      <c r="H47" s="256"/>
      <c r="I47" s="255"/>
      <c r="J47" s="266">
        <v>15600000</v>
      </c>
      <c r="K47" s="265">
        <v>0</v>
      </c>
      <c r="L47" s="267"/>
      <c r="M47" s="267"/>
      <c r="N47" s="4"/>
      <c r="O47" s="4"/>
      <c r="P47" s="266">
        <v>0</v>
      </c>
      <c r="Q47" s="265">
        <v>0</v>
      </c>
      <c r="R47" s="4"/>
      <c r="S47" s="4"/>
      <c r="T47" s="4"/>
      <c r="U47" s="4"/>
      <c r="V47" s="266"/>
      <c r="W47" s="265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257"/>
      <c r="C48" s="164"/>
      <c r="D48" s="256"/>
      <c r="E48" s="256"/>
      <c r="F48" s="256"/>
      <c r="G48" s="256"/>
      <c r="H48" s="256"/>
      <c r="I48" s="255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257"/>
      <c r="C49" s="261" t="s">
        <v>81</v>
      </c>
      <c r="D49" s="260" t="s">
        <v>72</v>
      </c>
      <c r="E49" s="260" t="s">
        <v>73</v>
      </c>
      <c r="F49" s="260" t="s">
        <v>91</v>
      </c>
      <c r="G49" s="260" t="s">
        <v>93</v>
      </c>
      <c r="H49" s="256"/>
      <c r="I49" s="4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260" t="s">
        <v>72</v>
      </c>
      <c r="Q49" s="260" t="s">
        <v>73</v>
      </c>
      <c r="R49" s="260" t="s">
        <v>91</v>
      </c>
      <c r="S49" s="260" t="s">
        <v>94</v>
      </c>
      <c r="T49" s="4"/>
      <c r="U49" s="4"/>
      <c r="V49" s="260" t="s">
        <v>95</v>
      </c>
      <c r="W49" s="260" t="s">
        <v>73</v>
      </c>
      <c r="X49" s="260" t="s">
        <v>91</v>
      </c>
      <c r="Y49" s="260" t="s">
        <v>94</v>
      </c>
      <c r="Z49" s="4"/>
      <c r="AA49" s="4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263">
        <f>SUM(D51:D54)</f>
        <v>5978031.9299999988</v>
      </c>
      <c r="E50" s="263">
        <f>SUM(E51:E54)</f>
        <v>14670000</v>
      </c>
      <c r="F50" s="263">
        <f>SUM(F51:F54)</f>
        <v>16028000</v>
      </c>
      <c r="G50" s="262">
        <f>D50+E50-F50</f>
        <v>4620031.93</v>
      </c>
      <c r="H50" s="256"/>
      <c r="I50" s="4"/>
      <c r="J50" s="262">
        <f>+'[1]NR 2024'!V50</f>
        <v>6727710.7999999998</v>
      </c>
      <c r="K50" s="263">
        <f>+'[1]NR 2024'!W50</f>
        <v>38196380.960000001</v>
      </c>
      <c r="L50" s="263">
        <f>+'[1]NR 2024'!X50</f>
        <v>40291757</v>
      </c>
      <c r="M50" s="262">
        <f>J50+K50-L50</f>
        <v>4632334.7599999979</v>
      </c>
      <c r="N50" s="4"/>
      <c r="O50" s="4"/>
      <c r="P50" s="263">
        <f>SUM(P51:P54)</f>
        <v>6311200</v>
      </c>
      <c r="Q50" s="263">
        <f>SUM(Q51:Q54)</f>
        <v>12900000</v>
      </c>
      <c r="R50" s="263">
        <f>SUM(R51:R54)</f>
        <v>11946400</v>
      </c>
      <c r="S50" s="263">
        <f>SUM(S51:S54)</f>
        <v>7264800</v>
      </c>
      <c r="T50" s="4"/>
      <c r="U50" s="4"/>
      <c r="V50" s="263">
        <f>SUM(V51:V54)</f>
        <v>7264800</v>
      </c>
      <c r="W50" s="263">
        <f>SUM(W51:W54)</f>
        <v>25851960.48</v>
      </c>
      <c r="X50" s="263">
        <f>SUM(X51:X54)</f>
        <v>25800000</v>
      </c>
      <c r="Y50" s="262">
        <f>V50+W50-X50</f>
        <v>7316760.4800000004</v>
      </c>
      <c r="Z50" s="4"/>
      <c r="AA50" s="4"/>
      <c r="AB50" s="4"/>
      <c r="AC50" s="4"/>
      <c r="AD50" s="4"/>
    </row>
    <row r="51" spans="1:30" x14ac:dyDescent="0.25">
      <c r="A51" s="4"/>
      <c r="B51" s="257"/>
      <c r="C51" s="259" t="s">
        <v>70</v>
      </c>
      <c r="D51" s="263">
        <v>198936.8</v>
      </c>
      <c r="E51" s="263">
        <v>4000000</v>
      </c>
      <c r="F51" s="263">
        <v>0</v>
      </c>
      <c r="G51" s="262">
        <v>4198936.8</v>
      </c>
      <c r="H51" s="256"/>
      <c r="I51" s="4"/>
      <c r="J51" s="262">
        <f>+'[1]NR 2024'!V51</f>
        <v>4198936.8</v>
      </c>
      <c r="K51" s="263">
        <f>+'[1]NR 2024'!W51</f>
        <v>0</v>
      </c>
      <c r="L51" s="263">
        <f>+'[1]NR 2024'!X51</f>
        <v>0</v>
      </c>
      <c r="M51" s="262">
        <f>J51+K51-L51</f>
        <v>4198936.8</v>
      </c>
      <c r="N51" s="4"/>
      <c r="O51" s="4"/>
      <c r="P51" s="263">
        <f>4198.9*1000</f>
        <v>4198900</v>
      </c>
      <c r="Q51" s="263">
        <v>1500000</v>
      </c>
      <c r="R51" s="263">
        <v>0</v>
      </c>
      <c r="S51" s="262">
        <f>P51+Q51-R51</f>
        <v>5698900</v>
      </c>
      <c r="T51" s="4"/>
      <c r="U51" s="4"/>
      <c r="V51" s="263">
        <f>+S51</f>
        <v>5698900</v>
      </c>
      <c r="W51" s="263">
        <v>0</v>
      </c>
      <c r="X51" s="263">
        <v>0</v>
      </c>
      <c r="Y51" s="262">
        <f>V51+W51-X51</f>
        <v>5698900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259" t="s">
        <v>71</v>
      </c>
      <c r="D52" s="263">
        <v>5554034.129999999</v>
      </c>
      <c r="E52" s="263">
        <v>9982000</v>
      </c>
      <c r="F52" s="263">
        <v>15380000</v>
      </c>
      <c r="G52" s="262">
        <v>156034.12999999896</v>
      </c>
      <c r="H52" s="256"/>
      <c r="I52" s="4"/>
      <c r="J52" s="262">
        <f>+'[1]NR 2024'!V52</f>
        <v>2328774</v>
      </c>
      <c r="K52" s="263">
        <f>+'[1]NR 2024'!W52</f>
        <v>36774174</v>
      </c>
      <c r="L52" s="263">
        <f>+'[1]NR 2024'!X52</f>
        <v>38891757</v>
      </c>
      <c r="M52" s="262">
        <f>J52+K52-L52</f>
        <v>211191</v>
      </c>
      <c r="N52" s="4"/>
      <c r="O52" s="4"/>
      <c r="P52" s="263">
        <f>1757.7*1000</f>
        <v>1757700</v>
      </c>
      <c r="Q52" s="263">
        <f>10604.6*1000</f>
        <v>10604600</v>
      </c>
      <c r="R52" s="263">
        <f>10899.9*1000</f>
        <v>10899900</v>
      </c>
      <c r="S52" s="262">
        <f>P52+Q52-R52</f>
        <v>1462400</v>
      </c>
      <c r="T52" s="4"/>
      <c r="U52" s="4"/>
      <c r="V52" s="263">
        <f>+S52</f>
        <v>1462400</v>
      </c>
      <c r="W52" s="263">
        <f>+AA37</f>
        <v>25078407</v>
      </c>
      <c r="X52" s="263">
        <v>25000000</v>
      </c>
      <c r="Y52" s="262">
        <f>+W52+V52-X52</f>
        <v>1540807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259" t="s">
        <v>88</v>
      </c>
      <c r="D53" s="263">
        <v>0</v>
      </c>
      <c r="E53" s="263">
        <v>0</v>
      </c>
      <c r="F53" s="263">
        <v>0</v>
      </c>
      <c r="G53" s="262">
        <v>0</v>
      </c>
      <c r="H53" s="256"/>
      <c r="I53" s="4"/>
      <c r="J53" s="262">
        <f>+'[1]NR 2024'!V53</f>
        <v>0</v>
      </c>
      <c r="K53" s="263">
        <f>+'[1]NR 2024'!W53</f>
        <v>0</v>
      </c>
      <c r="L53" s="263">
        <f>+'[1]NR 2024'!X53</f>
        <v>0</v>
      </c>
      <c r="M53" s="262">
        <f>J53+K53-L53</f>
        <v>0</v>
      </c>
      <c r="N53" s="4"/>
      <c r="O53" s="4"/>
      <c r="P53" s="263">
        <v>0</v>
      </c>
      <c r="Q53" s="263">
        <f>446.5*1000</f>
        <v>446500</v>
      </c>
      <c r="R53" s="263">
        <f>446.5*1000</f>
        <v>446500</v>
      </c>
      <c r="S53" s="262">
        <f>P53+Q53-R53</f>
        <v>0</v>
      </c>
      <c r="T53" s="4"/>
      <c r="U53" s="4"/>
      <c r="V53" s="263">
        <v>0</v>
      </c>
      <c r="W53" s="263">
        <v>0</v>
      </c>
      <c r="X53" s="263">
        <v>0</v>
      </c>
      <c r="Y53" s="262">
        <f>V53+W53-X53</f>
        <v>0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64" t="s">
        <v>89</v>
      </c>
      <c r="D54" s="263">
        <v>225061</v>
      </c>
      <c r="E54" s="263">
        <v>688000</v>
      </c>
      <c r="F54" s="263">
        <v>648000</v>
      </c>
      <c r="G54" s="262">
        <v>265061</v>
      </c>
      <c r="H54" s="256"/>
      <c r="I54" s="4"/>
      <c r="J54" s="262">
        <f>+'[1]NR 2024'!V54</f>
        <v>200000</v>
      </c>
      <c r="K54" s="263">
        <f>+'[1]NR 2024'!W54</f>
        <v>1422206.96</v>
      </c>
      <c r="L54" s="263">
        <f>+'[1]NR 2024'!X54</f>
        <v>1400000</v>
      </c>
      <c r="M54" s="262">
        <f>J54+K54-L54</f>
        <v>222206.95999999996</v>
      </c>
      <c r="N54" s="4"/>
      <c r="O54" s="4"/>
      <c r="P54" s="263">
        <f>354.6*1000</f>
        <v>354600</v>
      </c>
      <c r="Q54" s="263">
        <f>348.9*1000</f>
        <v>348900</v>
      </c>
      <c r="R54" s="263">
        <v>600000</v>
      </c>
      <c r="S54" s="262">
        <f>P54+Q54-R54</f>
        <v>103500</v>
      </c>
      <c r="T54" s="4"/>
      <c r="U54" s="4"/>
      <c r="V54" s="263">
        <f>+S54</f>
        <v>103500</v>
      </c>
      <c r="W54" s="263">
        <f>0.01*AA33</f>
        <v>773553.48</v>
      </c>
      <c r="X54" s="263">
        <v>800000</v>
      </c>
      <c r="Y54" s="262">
        <f>V54+W54-X54</f>
        <v>77053.479999999981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257"/>
      <c r="C55" s="164"/>
      <c r="D55" s="256"/>
      <c r="E55" s="256"/>
      <c r="F55" s="256"/>
      <c r="G55" s="256"/>
      <c r="H55" s="25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257"/>
      <c r="C56" s="261" t="s">
        <v>74</v>
      </c>
      <c r="D56" s="260" t="s">
        <v>75</v>
      </c>
      <c r="E56" s="260" t="s">
        <v>96</v>
      </c>
      <c r="F56" s="256"/>
      <c r="G56" s="256"/>
      <c r="H56" s="256"/>
      <c r="I56" s="255"/>
      <c r="J56" s="260" t="s">
        <v>97</v>
      </c>
      <c r="K56" s="256"/>
      <c r="L56" s="256"/>
      <c r="M56" s="256"/>
      <c r="N56" s="256"/>
      <c r="O56" s="255"/>
      <c r="P56" s="260" t="s">
        <v>98</v>
      </c>
      <c r="Q56" s="255"/>
      <c r="R56" s="255"/>
      <c r="S56" s="255"/>
      <c r="T56" s="255"/>
      <c r="U56" s="255"/>
      <c r="V56" s="260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257"/>
      <c r="C57" s="259"/>
      <c r="D57" s="258">
        <v>185</v>
      </c>
      <c r="E57" s="258">
        <v>187</v>
      </c>
      <c r="F57" s="256"/>
      <c r="G57" s="256"/>
      <c r="H57" s="256"/>
      <c r="I57" s="255"/>
      <c r="J57" s="258">
        <v>187</v>
      </c>
      <c r="K57" s="256"/>
      <c r="L57" s="256"/>
      <c r="M57" s="256"/>
      <c r="N57" s="256"/>
      <c r="O57" s="255"/>
      <c r="P57" s="258">
        <v>190</v>
      </c>
      <c r="Q57" s="255"/>
      <c r="R57" s="255"/>
      <c r="S57" s="255"/>
      <c r="T57" s="255"/>
      <c r="U57" s="255"/>
      <c r="V57" s="258">
        <v>192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164"/>
      <c r="D58" s="256"/>
      <c r="E58" s="256"/>
      <c r="F58" s="256"/>
      <c r="G58" s="256"/>
      <c r="H58" s="256"/>
      <c r="I58" s="255"/>
      <c r="J58" s="256"/>
      <c r="K58" s="256"/>
      <c r="L58" s="256"/>
      <c r="M58" s="256"/>
      <c r="N58" s="256"/>
      <c r="O58" s="255"/>
      <c r="P58" s="255"/>
      <c r="Q58" s="255"/>
      <c r="R58" s="255"/>
      <c r="S58" s="255"/>
      <c r="T58" s="255"/>
      <c r="U58" s="255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4" t="s">
        <v>92</v>
      </c>
      <c r="C59" s="253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1"/>
      <c r="W59" s="251"/>
      <c r="X59" s="251"/>
      <c r="Y59" s="251"/>
      <c r="Z59" s="251"/>
      <c r="AA59" s="251"/>
      <c r="AB59" s="250"/>
      <c r="AC59" s="4"/>
      <c r="AD59" s="4"/>
    </row>
    <row r="60" spans="1:30" x14ac:dyDescent="0.25">
      <c r="A60" s="4"/>
      <c r="B60" s="249"/>
      <c r="M60"/>
      <c r="AB60" s="240"/>
      <c r="AC60" s="4"/>
      <c r="AD60" s="4"/>
    </row>
    <row r="61" spans="1:30" x14ac:dyDescent="0.25">
      <c r="A61" s="4"/>
      <c r="B61" s="249" t="s">
        <v>157</v>
      </c>
      <c r="M61"/>
      <c r="AB61" s="240"/>
      <c r="AC61" s="4"/>
      <c r="AD61" s="4"/>
    </row>
    <row r="62" spans="1:30" x14ac:dyDescent="0.25">
      <c r="A62" s="4"/>
      <c r="B62" s="248" t="s">
        <v>156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AB62" s="240"/>
      <c r="AC62" s="4"/>
      <c r="AD62" s="4"/>
    </row>
    <row r="63" spans="1:30" x14ac:dyDescent="0.25">
      <c r="A63" s="4"/>
      <c r="B63" s="245" t="s">
        <v>155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AB63" s="240"/>
      <c r="AC63" s="4"/>
      <c r="AD63" s="4"/>
    </row>
    <row r="64" spans="1:30" x14ac:dyDescent="0.25">
      <c r="A64" s="4"/>
      <c r="B64" s="482" t="s">
        <v>154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AB64" s="240"/>
      <c r="AC64" s="4"/>
      <c r="AD64" s="4"/>
    </row>
    <row r="65" spans="1:30" x14ac:dyDescent="0.25">
      <c r="A65" s="4"/>
      <c r="B65" s="482" t="s">
        <v>153</v>
      </c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AB65" s="240"/>
      <c r="AC65" s="4"/>
      <c r="AD65" s="4"/>
    </row>
    <row r="66" spans="1:30" x14ac:dyDescent="0.25">
      <c r="A66" s="4"/>
      <c r="B66" s="482" t="s">
        <v>152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AB66" s="240"/>
      <c r="AC66" s="4"/>
      <c r="AD66" s="4"/>
    </row>
    <row r="67" spans="1:30" x14ac:dyDescent="0.25">
      <c r="A67" s="4"/>
      <c r="B67" s="482" t="s">
        <v>151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AB67" s="240"/>
      <c r="AC67" s="4"/>
      <c r="AD67" s="4"/>
    </row>
    <row r="68" spans="1:30" x14ac:dyDescent="0.25">
      <c r="A68" s="4"/>
      <c r="B68" s="482" t="s">
        <v>150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AB68" s="240"/>
      <c r="AC68" s="4"/>
      <c r="AD68" s="4"/>
    </row>
    <row r="69" spans="1:30" x14ac:dyDescent="0.25">
      <c r="A69" s="4"/>
      <c r="B69" s="246" t="s">
        <v>149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482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246" t="s">
        <v>148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482" t="s">
        <v>147</v>
      </c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482" t="s">
        <v>146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482" t="s">
        <v>145</v>
      </c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482" t="s">
        <v>144</v>
      </c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x14ac:dyDescent="0.25">
      <c r="A76" s="4"/>
      <c r="B76" s="239"/>
      <c r="C76" s="238"/>
      <c r="D76" s="237"/>
      <c r="E76" s="237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5"/>
      <c r="W76" s="235"/>
      <c r="X76" s="235"/>
      <c r="Y76" s="235"/>
      <c r="Z76" s="235"/>
      <c r="AA76" s="235"/>
      <c r="AB76" s="234"/>
      <c r="AC76" s="4"/>
      <c r="AD76" s="4"/>
    </row>
    <row r="77" spans="1:30" x14ac:dyDescent="0.25">
      <c r="A77" s="4"/>
      <c r="B77" s="232"/>
      <c r="C77" s="233"/>
      <c r="D77" s="232"/>
      <c r="E77" s="232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4"/>
      <c r="B78" s="232"/>
      <c r="C78" s="233"/>
      <c r="D78" s="232"/>
      <c r="E78" s="232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A79" s="4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A80" s="4"/>
      <c r="B80" s="225" t="s">
        <v>80</v>
      </c>
      <c r="C80" s="230">
        <v>45569</v>
      </c>
      <c r="D80" s="225" t="s">
        <v>76</v>
      </c>
      <c r="E80" s="229" t="s">
        <v>143</v>
      </c>
      <c r="F80" s="229"/>
      <c r="G80" s="229"/>
      <c r="H80" s="225"/>
      <c r="I80" s="225" t="s">
        <v>77</v>
      </c>
      <c r="J80" s="228" t="s">
        <v>142</v>
      </c>
      <c r="K80" s="228"/>
      <c r="L80" s="228"/>
      <c r="M80" s="228"/>
      <c r="N80" s="225"/>
      <c r="O80" s="225"/>
      <c r="P80" s="225"/>
      <c r="Q80" s="225"/>
      <c r="R80" s="225"/>
      <c r="S80" s="225"/>
      <c r="T80" s="225"/>
      <c r="U80" s="225"/>
      <c r="V80" s="4"/>
      <c r="W80" s="4"/>
      <c r="X80" s="4"/>
      <c r="Y80" s="4"/>
      <c r="Z80" s="4"/>
      <c r="AA80" s="4"/>
      <c r="AB80" s="4"/>
      <c r="AC80" s="4"/>
      <c r="AD80" s="4"/>
    </row>
    <row r="81" spans="1:30" ht="7.5" customHeight="1" x14ac:dyDescent="0.25">
      <c r="A81" s="4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4"/>
      <c r="W81" s="4"/>
      <c r="X81" s="4"/>
      <c r="Y81" s="4"/>
      <c r="Z81" s="4"/>
      <c r="AA81" s="4"/>
      <c r="AB81" s="4"/>
      <c r="AC81" s="4"/>
      <c r="AD81" s="4"/>
    </row>
    <row r="82" spans="1:30" x14ac:dyDescent="0.25">
      <c r="A82" s="4"/>
      <c r="B82" s="225"/>
      <c r="C82" s="225"/>
      <c r="D82" s="225" t="s">
        <v>79</v>
      </c>
      <c r="E82" s="227"/>
      <c r="F82" s="227"/>
      <c r="G82" s="227"/>
      <c r="H82" s="225"/>
      <c r="I82" s="225" t="s">
        <v>79</v>
      </c>
      <c r="J82" s="226"/>
      <c r="K82" s="226"/>
      <c r="L82" s="226"/>
      <c r="M82" s="226"/>
      <c r="N82" s="225"/>
      <c r="O82" s="225"/>
      <c r="P82" s="225"/>
      <c r="Q82" s="225"/>
      <c r="R82" s="225"/>
      <c r="S82" s="225"/>
      <c r="T82" s="225"/>
      <c r="U82" s="225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5">
      <c r="A83" s="4"/>
      <c r="B83" s="225"/>
      <c r="C83" s="225"/>
      <c r="D83" s="225"/>
      <c r="E83" s="227"/>
      <c r="F83" s="227"/>
      <c r="G83" s="227"/>
      <c r="H83" s="225"/>
      <c r="I83" s="225"/>
      <c r="J83" s="226"/>
      <c r="K83" s="226"/>
      <c r="L83" s="226"/>
      <c r="M83" s="226"/>
      <c r="N83" s="225"/>
      <c r="O83" s="225"/>
      <c r="P83" s="225"/>
      <c r="Q83" s="225"/>
      <c r="R83" s="225"/>
      <c r="S83" s="225"/>
      <c r="T83" s="225"/>
      <c r="U83" s="225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5">
      <c r="A84" s="4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5">
      <c r="A85" s="4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4"/>
      <c r="W85" s="4"/>
      <c r="X85" s="4"/>
      <c r="Y85" s="4"/>
      <c r="Z85" s="4"/>
      <c r="AA85" s="4"/>
      <c r="AB85" s="4"/>
      <c r="AC85" s="4"/>
      <c r="AD85" s="4"/>
    </row>
    <row r="86" spans="1:30" x14ac:dyDescent="0.25"/>
    <row r="87" spans="1:30" x14ac:dyDescent="0.25"/>
    <row r="88" spans="1:30" x14ac:dyDescent="0.25"/>
    <row r="89" spans="1:30" x14ac:dyDescent="0.25"/>
    <row r="90" spans="1:30" x14ac:dyDescent="0.25"/>
    <row r="91" spans="1:30" x14ac:dyDescent="0.25"/>
    <row r="92" spans="1:30" x14ac:dyDescent="0.25"/>
    <row r="93" spans="1:30" x14ac:dyDescent="0.25"/>
    <row r="94" spans="1:30" x14ac:dyDescent="0.25"/>
    <row r="95" spans="1:30" x14ac:dyDescent="0.25"/>
    <row r="96" spans="1:30" x14ac:dyDescent="0.25"/>
    <row r="97" x14ac:dyDescent="0.25"/>
    <row r="98" x14ac:dyDescent="0.25"/>
    <row r="99" x14ac:dyDescent="0.25"/>
    <row r="100" x14ac:dyDescent="0.25"/>
    <row r="102" ht="15" hidden="1" customHeight="1" x14ac:dyDescent="0.25"/>
    <row r="109" x14ac:dyDescent="0.25"/>
    <row r="110" x14ac:dyDescent="0.25"/>
    <row r="111" x14ac:dyDescent="0.25"/>
    <row r="112" x14ac:dyDescent="0.25"/>
    <row r="113" x14ac:dyDescent="0.25"/>
    <row r="116" ht="15" hidden="1" customHeight="1" x14ac:dyDescent="0.25"/>
    <row r="117" ht="15" hidden="1" customHeight="1" x14ac:dyDescent="0.25"/>
    <row r="118" x14ac:dyDescent="0.25"/>
    <row r="125" x14ac:dyDescent="0.25"/>
    <row r="128" x14ac:dyDescent="0.25"/>
    <row r="132" x14ac:dyDescent="0.25"/>
    <row r="133" x14ac:dyDescent="0.25"/>
  </sheetData>
  <mergeCells count="63">
    <mergeCell ref="B10:B13"/>
    <mergeCell ref="J10:O10"/>
    <mergeCell ref="J11:M11"/>
    <mergeCell ref="J12:O12"/>
    <mergeCell ref="J13:L13"/>
    <mergeCell ref="M13:M14"/>
    <mergeCell ref="N13:N14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26:B27"/>
    <mergeCell ref="O13:O14"/>
    <mergeCell ref="J25:O25"/>
    <mergeCell ref="J26:L26"/>
    <mergeCell ref="M26:M27"/>
    <mergeCell ref="N26:N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80:G80"/>
    <mergeCell ref="J80:M80"/>
    <mergeCell ref="B63:U63"/>
    <mergeCell ref="H26:H27"/>
    <mergeCell ref="I26:I27"/>
    <mergeCell ref="O26:O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69" priority="3" operator="equal">
      <formula>0</formula>
    </cfRule>
    <cfRule type="containsErrors" dxfId="68" priority="4">
      <formula>ISERROR(AB15)</formula>
    </cfRule>
  </conditionalFormatting>
  <conditionalFormatting sqref="AB28:AB41">
    <cfRule type="cellIs" dxfId="67" priority="1" operator="equal">
      <formula>0</formula>
    </cfRule>
    <cfRule type="containsErrors" dxfId="6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28"/>
  <sheetViews>
    <sheetView zoomScale="85" zoomScaleNormal="85" workbookViewId="0">
      <selection activeCell="V48" sqref="V48"/>
    </sheetView>
  </sheetViews>
  <sheetFormatPr defaultColWidth="9.140625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style="490" customWidth="1"/>
    <col min="5" max="5" width="17.85546875" style="490" customWidth="1"/>
    <col min="6" max="6" width="16.85546875" style="490" customWidth="1"/>
    <col min="7" max="7" width="21.28515625" style="490" customWidth="1"/>
    <col min="8" max="8" width="14.85546875" style="490" customWidth="1"/>
    <col min="9" max="9" width="17.7109375" style="490" customWidth="1"/>
    <col min="10" max="10" width="16.140625" customWidth="1"/>
    <col min="11" max="11" width="17.85546875" customWidth="1"/>
    <col min="12" max="12" width="15.140625" customWidth="1"/>
    <col min="13" max="13" width="23.42578125" style="224" customWidth="1"/>
    <col min="14" max="14" width="14.28515625" customWidth="1"/>
    <col min="15" max="15" width="19.140625" customWidth="1"/>
    <col min="16" max="18" width="16.42578125" hidden="1" customWidth="1"/>
    <col min="19" max="19" width="21.140625" hidden="1" customWidth="1"/>
    <col min="20" max="20" width="14.85546875" hidden="1" customWidth="1"/>
    <col min="21" max="21" width="16.28515625" hidden="1" customWidth="1"/>
    <col min="22" max="22" width="16.140625" style="490" bestFit="1" customWidth="1"/>
    <col min="23" max="23" width="14.140625" style="490" bestFit="1" customWidth="1"/>
    <col min="24" max="24" width="16.7109375" style="490" bestFit="1" customWidth="1"/>
    <col min="25" max="25" width="18.7109375" style="490" bestFit="1" customWidth="1"/>
    <col min="26" max="26" width="12.7109375" style="490" bestFit="1" customWidth="1"/>
    <col min="27" max="27" width="13.140625" style="490" bestFit="1" customWidth="1"/>
    <col min="28" max="28" width="17.7109375" customWidth="1"/>
    <col min="29" max="29" width="5.85546875" customWidth="1"/>
    <col min="30" max="30" width="12.5703125" customWidth="1"/>
    <col min="31" max="31" width="11.28515625" bestFit="1" customWidth="1"/>
  </cols>
  <sheetData>
    <row r="1" spans="1:30" x14ac:dyDescent="0.25">
      <c r="A1" s="4"/>
      <c r="B1" s="4"/>
      <c r="C1" s="4"/>
      <c r="D1" s="491"/>
      <c r="E1" s="491"/>
      <c r="F1" s="491"/>
      <c r="G1" s="491"/>
      <c r="H1" s="491"/>
      <c r="I1" s="491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91"/>
      <c r="W1" s="491"/>
      <c r="X1" s="491"/>
      <c r="Y1" s="491"/>
      <c r="Z1" s="491"/>
      <c r="AA1" s="491"/>
      <c r="AB1" s="4"/>
      <c r="AC1" s="4"/>
    </row>
    <row r="2" spans="1:30" ht="21" x14ac:dyDescent="0.35">
      <c r="A2" s="4"/>
      <c r="B2" s="467" t="s">
        <v>106</v>
      </c>
      <c r="C2" s="4"/>
      <c r="D2" s="491"/>
      <c r="E2" s="491"/>
      <c r="F2" s="491"/>
      <c r="G2" s="491"/>
      <c r="H2" s="491"/>
      <c r="I2" s="491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91"/>
      <c r="W2" s="491"/>
      <c r="X2" s="491"/>
      <c r="Y2" s="491"/>
      <c r="Z2" s="491"/>
      <c r="AA2" s="491"/>
      <c r="AB2" s="4"/>
      <c r="AC2" s="4"/>
    </row>
    <row r="3" spans="1:30" ht="19.149999999999999" customHeight="1" x14ac:dyDescent="0.25">
      <c r="A3" s="4"/>
      <c r="B3" s="4"/>
      <c r="C3" s="4"/>
      <c r="D3" s="491"/>
      <c r="E3" s="491"/>
      <c r="F3" s="491"/>
      <c r="G3" s="491"/>
      <c r="H3" s="491"/>
      <c r="I3" s="491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91"/>
      <c r="W3" s="491"/>
      <c r="X3" s="491"/>
      <c r="Y3" s="491"/>
      <c r="Z3" s="491"/>
      <c r="AA3" s="491"/>
      <c r="AB3" s="4"/>
      <c r="AC3" s="4"/>
    </row>
    <row r="4" spans="1:30" ht="21" x14ac:dyDescent="0.35">
      <c r="A4" s="4"/>
      <c r="B4" s="4" t="s">
        <v>43</v>
      </c>
      <c r="C4" s="4"/>
      <c r="D4" s="466" t="s">
        <v>178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91"/>
      <c r="X4" s="491"/>
      <c r="Y4" s="491"/>
      <c r="Z4" s="491"/>
      <c r="AA4" s="491"/>
      <c r="AB4" s="4"/>
      <c r="AC4" s="4"/>
    </row>
    <row r="5" spans="1:30" ht="3.75" customHeight="1" x14ac:dyDescent="0.25">
      <c r="A5" s="4"/>
      <c r="B5" s="4"/>
      <c r="C5" s="4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"/>
      <c r="V5" s="4"/>
      <c r="W5" s="491"/>
      <c r="X5" s="491"/>
      <c r="Y5" s="491"/>
      <c r="Z5" s="491"/>
      <c r="AA5" s="491"/>
      <c r="AB5" s="4"/>
      <c r="AC5" s="4"/>
    </row>
    <row r="6" spans="1:30" x14ac:dyDescent="0.25">
      <c r="A6" s="4"/>
      <c r="B6" s="4" t="s">
        <v>44</v>
      </c>
      <c r="C6" s="4"/>
      <c r="D6" s="611">
        <v>379719</v>
      </c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"/>
      <c r="V6" s="4"/>
      <c r="W6" s="491"/>
      <c r="X6" s="491"/>
      <c r="Y6" s="491"/>
      <c r="Z6" s="491"/>
      <c r="AA6" s="491"/>
      <c r="AB6" s="4"/>
      <c r="AC6" s="4"/>
    </row>
    <row r="7" spans="1:30" ht="3.75" customHeight="1" x14ac:dyDescent="0.25">
      <c r="A7" s="4"/>
      <c r="B7" s="4"/>
      <c r="C7" s="4"/>
      <c r="D7" s="610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"/>
      <c r="V7" s="4"/>
      <c r="W7" s="491"/>
      <c r="X7" s="491"/>
      <c r="Y7" s="491"/>
      <c r="Z7" s="491"/>
      <c r="AA7" s="491"/>
      <c r="AB7" s="4"/>
      <c r="AC7" s="4"/>
    </row>
    <row r="8" spans="1:30" x14ac:dyDescent="0.25">
      <c r="A8" s="4"/>
      <c r="B8" s="4" t="s">
        <v>45</v>
      </c>
      <c r="C8" s="4"/>
      <c r="D8" s="247" t="s">
        <v>177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491"/>
      <c r="X8" s="491"/>
      <c r="Y8" s="491"/>
      <c r="Z8" s="491"/>
      <c r="AA8" s="491"/>
      <c r="AB8" s="4"/>
      <c r="AC8" s="4"/>
    </row>
    <row r="9" spans="1:30" ht="15.75" thickBot="1" x14ac:dyDescent="0.3">
      <c r="A9" s="4"/>
      <c r="B9" s="4"/>
      <c r="C9" s="4"/>
      <c r="D9" s="491"/>
      <c r="E9" s="491"/>
      <c r="F9" s="491"/>
      <c r="G9" s="491"/>
      <c r="H9" s="491"/>
      <c r="I9" s="491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91"/>
      <c r="W9" s="491"/>
      <c r="X9" s="491"/>
      <c r="Y9" s="491"/>
      <c r="Z9" s="491"/>
      <c r="AA9" s="491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609" t="s">
        <v>107</v>
      </c>
      <c r="E10" s="608"/>
      <c r="F10" s="608"/>
      <c r="G10" s="608"/>
      <c r="H10" s="608"/>
      <c r="I10" s="607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609" t="s">
        <v>110</v>
      </c>
      <c r="W10" s="608"/>
      <c r="X10" s="608"/>
      <c r="Y10" s="608"/>
      <c r="Z10" s="608"/>
      <c r="AA10" s="607"/>
      <c r="AB10" s="459" t="s">
        <v>176</v>
      </c>
      <c r="AC10" s="4"/>
      <c r="AD10" s="4"/>
    </row>
    <row r="11" spans="1:30" ht="30.75" customHeight="1" thickBot="1" x14ac:dyDescent="0.3">
      <c r="A11" s="4"/>
      <c r="B11" s="454"/>
      <c r="C11" s="352"/>
      <c r="D11" s="606" t="s">
        <v>39</v>
      </c>
      <c r="E11" s="605"/>
      <c r="F11" s="605"/>
      <c r="G11" s="604"/>
      <c r="H11" s="603" t="s">
        <v>40</v>
      </c>
      <c r="I11" s="603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606" t="s">
        <v>39</v>
      </c>
      <c r="W11" s="605"/>
      <c r="X11" s="605"/>
      <c r="Y11" s="604"/>
      <c r="Z11" s="603" t="s">
        <v>40</v>
      </c>
      <c r="AA11" s="603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602" t="s">
        <v>62</v>
      </c>
      <c r="E12" s="601"/>
      <c r="F12" s="601"/>
      <c r="G12" s="601"/>
      <c r="H12" s="601"/>
      <c r="I12" s="60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602" t="s">
        <v>62</v>
      </c>
      <c r="W12" s="601"/>
      <c r="X12" s="601"/>
      <c r="Y12" s="601"/>
      <c r="Z12" s="601"/>
      <c r="AA12" s="60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599" t="s">
        <v>57</v>
      </c>
      <c r="E13" s="598"/>
      <c r="F13" s="598"/>
      <c r="G13" s="558" t="s">
        <v>63</v>
      </c>
      <c r="H13" s="597" t="s">
        <v>66</v>
      </c>
      <c r="I13" s="596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599" t="s">
        <v>57</v>
      </c>
      <c r="W13" s="598"/>
      <c r="X13" s="598"/>
      <c r="Y13" s="558" t="s">
        <v>63</v>
      </c>
      <c r="Z13" s="597" t="s">
        <v>66</v>
      </c>
      <c r="AA13" s="596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595" t="s">
        <v>58</v>
      </c>
      <c r="E14" s="594" t="s">
        <v>90</v>
      </c>
      <c r="F14" s="594" t="s">
        <v>59</v>
      </c>
      <c r="G14" s="552"/>
      <c r="H14" s="593"/>
      <c r="I14" s="592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595" t="s">
        <v>58</v>
      </c>
      <c r="W14" s="594" t="s">
        <v>90</v>
      </c>
      <c r="X14" s="594" t="s">
        <v>59</v>
      </c>
      <c r="Y14" s="552"/>
      <c r="Z14" s="593"/>
      <c r="AA14" s="592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591"/>
      <c r="E15" s="590"/>
      <c r="F15" s="589">
        <v>39885541.200000003</v>
      </c>
      <c r="G15" s="588">
        <f>SUM(D15:F15)</f>
        <v>39885541.200000003</v>
      </c>
      <c r="H15" s="580">
        <v>9241281.870000001</v>
      </c>
      <c r="I15" s="543">
        <f>G15+H15</f>
        <v>49126823.070000008</v>
      </c>
      <c r="J15" s="591"/>
      <c r="K15" s="590">
        <v>0</v>
      </c>
      <c r="L15" s="589">
        <v>32500000</v>
      </c>
      <c r="M15" s="588">
        <f>SUM(J15:L15)</f>
        <v>32500000</v>
      </c>
      <c r="N15" s="580">
        <v>7500000</v>
      </c>
      <c r="O15" s="543">
        <f>M15+N15</f>
        <v>40000000</v>
      </c>
      <c r="P15" s="591"/>
      <c r="Q15" s="590"/>
      <c r="R15" s="589">
        <v>14798071.08</v>
      </c>
      <c r="S15" s="588">
        <f>SUM(P15:R15)</f>
        <v>14798071.08</v>
      </c>
      <c r="T15" s="580">
        <v>4608621.1399999997</v>
      </c>
      <c r="U15" s="320">
        <f>S15+T15</f>
        <v>19406692.219999999</v>
      </c>
      <c r="V15" s="591">
        <f>+J15</f>
        <v>0</v>
      </c>
      <c r="W15" s="590">
        <f>+K15</f>
        <v>0</v>
      </c>
      <c r="X15" s="589">
        <v>42000000</v>
      </c>
      <c r="Y15" s="588">
        <f>SUM(V15:X15)</f>
        <v>42000000</v>
      </c>
      <c r="Z15" s="580">
        <v>9000000</v>
      </c>
      <c r="AA15" s="543">
        <f>Y15+Z15</f>
        <v>51000000</v>
      </c>
      <c r="AB15" s="280">
        <f>(AA15/O15)</f>
        <v>1.2749999999999999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587">
        <v>51600000.000000007</v>
      </c>
      <c r="E16" s="578"/>
      <c r="F16" s="578"/>
      <c r="G16" s="576">
        <f>SUM(D16:F16)</f>
        <v>51600000.000000007</v>
      </c>
      <c r="H16" s="586"/>
      <c r="I16" s="543">
        <f>G16+H16</f>
        <v>51600000.000000007</v>
      </c>
      <c r="J16" s="587">
        <v>54300000</v>
      </c>
      <c r="K16" s="578">
        <v>0</v>
      </c>
      <c r="L16" s="578">
        <v>0</v>
      </c>
      <c r="M16" s="576">
        <f>SUM(J16:L16)</f>
        <v>54300000</v>
      </c>
      <c r="N16" s="586">
        <v>0</v>
      </c>
      <c r="O16" s="543">
        <f>M16+N16</f>
        <v>54300000</v>
      </c>
      <c r="P16" s="587">
        <v>27150000</v>
      </c>
      <c r="Q16" s="578"/>
      <c r="R16" s="578"/>
      <c r="S16" s="576">
        <f>SUM(P16:R16)</f>
        <v>27150000</v>
      </c>
      <c r="T16" s="586"/>
      <c r="U16" s="320">
        <f>S16+T16</f>
        <v>27150000</v>
      </c>
      <c r="V16" s="587">
        <f>54000000-1500000-500000</f>
        <v>52000000</v>
      </c>
      <c r="W16" s="578">
        <f>+K16</f>
        <v>0</v>
      </c>
      <c r="X16" s="578">
        <f>+L16</f>
        <v>0</v>
      </c>
      <c r="Y16" s="576">
        <f>SUM(V16:X16)</f>
        <v>52000000</v>
      </c>
      <c r="Z16" s="586">
        <f>+N16</f>
        <v>0</v>
      </c>
      <c r="AA16" s="543">
        <f>Y16+Z16</f>
        <v>52000000</v>
      </c>
      <c r="AB16" s="280">
        <f>(AA16/O16)</f>
        <v>0.9576427255985267</v>
      </c>
      <c r="AC16" s="4"/>
      <c r="AD16" s="4"/>
    </row>
    <row r="17" spans="1:31" x14ac:dyDescent="0.25">
      <c r="A17" s="4"/>
      <c r="B17" s="326" t="s">
        <v>3</v>
      </c>
      <c r="C17" s="422" t="s">
        <v>78</v>
      </c>
      <c r="D17" s="585"/>
      <c r="E17" s="582"/>
      <c r="F17" s="582"/>
      <c r="G17" s="576">
        <f>SUM(D17:F17)</f>
        <v>0</v>
      </c>
      <c r="H17" s="584"/>
      <c r="I17" s="543">
        <f>G17+H17</f>
        <v>0</v>
      </c>
      <c r="J17" s="585"/>
      <c r="K17" s="582">
        <v>0</v>
      </c>
      <c r="L17" s="582">
        <v>0</v>
      </c>
      <c r="M17" s="576">
        <f>SUM(J17:L17)</f>
        <v>0</v>
      </c>
      <c r="N17" s="584">
        <v>0</v>
      </c>
      <c r="O17" s="543">
        <f>M17+N17</f>
        <v>0</v>
      </c>
      <c r="P17" s="585"/>
      <c r="Q17" s="582"/>
      <c r="R17" s="582"/>
      <c r="S17" s="576">
        <f>SUM(P17:R17)</f>
        <v>0</v>
      </c>
      <c r="T17" s="584"/>
      <c r="U17" s="320">
        <f>S17+T17</f>
        <v>0</v>
      </c>
      <c r="V17" s="585">
        <f>+J17</f>
        <v>0</v>
      </c>
      <c r="W17" s="582">
        <f>+K17</f>
        <v>0</v>
      </c>
      <c r="X17" s="582">
        <f>+L17</f>
        <v>0</v>
      </c>
      <c r="Y17" s="576">
        <f>SUM(V17:X17)</f>
        <v>0</v>
      </c>
      <c r="Z17" s="584">
        <f>+N17</f>
        <v>0</v>
      </c>
      <c r="AA17" s="543">
        <f>Y17+Z17</f>
        <v>0</v>
      </c>
      <c r="AB17" s="280" t="e">
        <f>(AA17/O17)</f>
        <v>#DIV/0!</v>
      </c>
      <c r="AC17" s="4"/>
      <c r="AD17" s="4"/>
    </row>
    <row r="18" spans="1:31" x14ac:dyDescent="0.25">
      <c r="A18" s="4"/>
      <c r="B18" s="326" t="s">
        <v>5</v>
      </c>
      <c r="C18" s="418" t="s">
        <v>53</v>
      </c>
      <c r="D18" s="579"/>
      <c r="E18" s="581">
        <v>1857590</v>
      </c>
      <c r="F18" s="582"/>
      <c r="G18" s="576">
        <f>SUM(D18:F18)</f>
        <v>1857590</v>
      </c>
      <c r="H18" s="580"/>
      <c r="I18" s="543">
        <f>G18+H18</f>
        <v>1857590</v>
      </c>
      <c r="J18" s="579"/>
      <c r="K18" s="581">
        <v>1100000</v>
      </c>
      <c r="L18" s="582">
        <v>0</v>
      </c>
      <c r="M18" s="576">
        <f>SUM(J18:L18)</f>
        <v>1100000</v>
      </c>
      <c r="N18" s="580">
        <v>0</v>
      </c>
      <c r="O18" s="543">
        <f>M18+N18</f>
        <v>1100000</v>
      </c>
      <c r="P18" s="579"/>
      <c r="Q18" s="581">
        <v>472155.66000000003</v>
      </c>
      <c r="R18" s="582"/>
      <c r="S18" s="576">
        <f>SUM(P18:R18)</f>
        <v>472155.66000000003</v>
      </c>
      <c r="T18" s="580"/>
      <c r="U18" s="320">
        <f>S18+T18</f>
        <v>472155.66000000003</v>
      </c>
      <c r="V18" s="579">
        <f>+J18</f>
        <v>0</v>
      </c>
      <c r="W18" s="581">
        <v>1800000</v>
      </c>
      <c r="X18" s="582">
        <f>+L18</f>
        <v>0</v>
      </c>
      <c r="Y18" s="576">
        <f>SUM(V18:X18)</f>
        <v>1800000</v>
      </c>
      <c r="Z18" s="580">
        <f>+N18</f>
        <v>0</v>
      </c>
      <c r="AA18" s="543">
        <f>Y18+Z18</f>
        <v>1800000</v>
      </c>
      <c r="AB18" s="280">
        <f>(AA18/O18)</f>
        <v>1.6363636363636365</v>
      </c>
      <c r="AC18" s="4"/>
      <c r="AD18" s="4"/>
    </row>
    <row r="19" spans="1:31" x14ac:dyDescent="0.25">
      <c r="A19" s="4"/>
      <c r="B19" s="326" t="s">
        <v>7</v>
      </c>
      <c r="C19" s="330" t="s">
        <v>46</v>
      </c>
      <c r="D19" s="583"/>
      <c r="E19" s="582"/>
      <c r="F19" s="581">
        <v>1418106.91</v>
      </c>
      <c r="G19" s="576">
        <f>SUM(D19:F19)</f>
        <v>1418106.91</v>
      </c>
      <c r="H19" s="580"/>
      <c r="I19" s="543">
        <f>G19+H19</f>
        <v>1418106.91</v>
      </c>
      <c r="J19" s="583"/>
      <c r="K19" s="582">
        <v>0</v>
      </c>
      <c r="L19" s="581">
        <v>1300000</v>
      </c>
      <c r="M19" s="576">
        <f>SUM(J19:L19)</f>
        <v>1300000</v>
      </c>
      <c r="N19" s="580">
        <v>0</v>
      </c>
      <c r="O19" s="543">
        <f>M19+N19</f>
        <v>1300000</v>
      </c>
      <c r="P19" s="583"/>
      <c r="Q19" s="582"/>
      <c r="R19" s="581">
        <v>637112.98</v>
      </c>
      <c r="S19" s="576">
        <f>SUM(P19:R19)</f>
        <v>637112.98</v>
      </c>
      <c r="T19" s="580"/>
      <c r="U19" s="320">
        <f>S19+T19</f>
        <v>637112.98</v>
      </c>
      <c r="V19" s="583">
        <f>+J19</f>
        <v>0</v>
      </c>
      <c r="W19" s="582">
        <f>+K19</f>
        <v>0</v>
      </c>
      <c r="X19" s="581">
        <v>1200000</v>
      </c>
      <c r="Y19" s="576">
        <f>SUM(V19:X19)</f>
        <v>1200000</v>
      </c>
      <c r="Z19" s="580">
        <f>+N19</f>
        <v>0</v>
      </c>
      <c r="AA19" s="543">
        <f>Y19+Z19</f>
        <v>1200000</v>
      </c>
      <c r="AB19" s="280">
        <f>(AA19/O19)</f>
        <v>0.92307692307692313</v>
      </c>
      <c r="AC19" s="4"/>
      <c r="AD19" s="4"/>
    </row>
    <row r="20" spans="1:31" x14ac:dyDescent="0.25">
      <c r="A20" s="4"/>
      <c r="B20" s="326" t="s">
        <v>9</v>
      </c>
      <c r="C20" s="412" t="s">
        <v>47</v>
      </c>
      <c r="D20" s="579"/>
      <c r="E20" s="578"/>
      <c r="F20" s="577"/>
      <c r="G20" s="576"/>
      <c r="H20" s="580"/>
      <c r="I20" s="543">
        <f>G20+H20</f>
        <v>0</v>
      </c>
      <c r="J20" s="579"/>
      <c r="K20" s="578">
        <v>0</v>
      </c>
      <c r="L20" s="577">
        <v>1500000</v>
      </c>
      <c r="M20" s="576">
        <f>SUM(J20:L20)</f>
        <v>1500000</v>
      </c>
      <c r="N20" s="580">
        <v>0</v>
      </c>
      <c r="O20" s="543">
        <f>M20+N20</f>
        <v>1500000</v>
      </c>
      <c r="P20" s="579"/>
      <c r="Q20" s="578"/>
      <c r="R20" s="577"/>
      <c r="S20" s="576">
        <f>SUM(P20:R20)</f>
        <v>0</v>
      </c>
      <c r="T20" s="580"/>
      <c r="U20" s="320">
        <f>S20+T20</f>
        <v>0</v>
      </c>
      <c r="V20" s="579">
        <f>+J20</f>
        <v>0</v>
      </c>
      <c r="W20" s="578">
        <f>+K20</f>
        <v>0</v>
      </c>
      <c r="X20" s="577">
        <v>2000000</v>
      </c>
      <c r="Y20" s="576">
        <f>SUM(V20:X20)</f>
        <v>2000000</v>
      </c>
      <c r="Z20" s="580">
        <f>+N20</f>
        <v>0</v>
      </c>
      <c r="AA20" s="543">
        <f>Y20+Z20</f>
        <v>2000000</v>
      </c>
      <c r="AB20" s="280">
        <f>(AA20/O20)</f>
        <v>1.3333333333333333</v>
      </c>
      <c r="AC20" s="4"/>
      <c r="AD20" s="4"/>
    </row>
    <row r="21" spans="1:31" x14ac:dyDescent="0.25">
      <c r="A21" s="4"/>
      <c r="B21" s="326" t="s">
        <v>11</v>
      </c>
      <c r="C21" s="325" t="s">
        <v>2</v>
      </c>
      <c r="D21" s="579"/>
      <c r="E21" s="578"/>
      <c r="F21" s="577">
        <v>4784886.79</v>
      </c>
      <c r="G21" s="576">
        <f>SUM(D21:F21)</f>
        <v>4784886.79</v>
      </c>
      <c r="H21" s="575">
        <v>2176939.5499999998</v>
      </c>
      <c r="I21" s="543">
        <f>G21+H21</f>
        <v>6961826.3399999999</v>
      </c>
      <c r="J21" s="579"/>
      <c r="K21" s="578">
        <v>0</v>
      </c>
      <c r="L21" s="577">
        <v>2500000</v>
      </c>
      <c r="M21" s="576">
        <f>SUM(J21:L21)</f>
        <v>2500000</v>
      </c>
      <c r="N21" s="575">
        <v>1000000</v>
      </c>
      <c r="O21" s="543">
        <f>M21+N21</f>
        <v>3500000</v>
      </c>
      <c r="P21" s="579"/>
      <c r="Q21" s="578"/>
      <c r="R21" s="577">
        <v>2681067.42</v>
      </c>
      <c r="S21" s="576">
        <f>SUM(P21:R21)</f>
        <v>2681067.42</v>
      </c>
      <c r="T21" s="575">
        <v>923031.65</v>
      </c>
      <c r="U21" s="320">
        <f>S21+T21</f>
        <v>3604099.07</v>
      </c>
      <c r="V21" s="579">
        <f>+J21</f>
        <v>0</v>
      </c>
      <c r="W21" s="578">
        <f>+K21</f>
        <v>0</v>
      </c>
      <c r="X21" s="577">
        <v>3500000</v>
      </c>
      <c r="Y21" s="576">
        <f>SUM(V21:X21)</f>
        <v>3500000</v>
      </c>
      <c r="Z21" s="575">
        <v>1500000</v>
      </c>
      <c r="AA21" s="543">
        <f>Y21+Z21</f>
        <v>5000000</v>
      </c>
      <c r="AB21" s="280">
        <f>(AA21/O21)</f>
        <v>1.4285714285714286</v>
      </c>
      <c r="AC21" s="4"/>
      <c r="AD21" s="4"/>
    </row>
    <row r="22" spans="1:31" x14ac:dyDescent="0.25">
      <c r="A22" s="4"/>
      <c r="B22" s="326" t="s">
        <v>13</v>
      </c>
      <c r="C22" s="325" t="s">
        <v>4</v>
      </c>
      <c r="D22" s="579"/>
      <c r="E22" s="578"/>
      <c r="F22" s="577"/>
      <c r="G22" s="576">
        <f>SUM(D22:F22)</f>
        <v>0</v>
      </c>
      <c r="H22" s="575"/>
      <c r="I22" s="543">
        <f>G22+H22</f>
        <v>0</v>
      </c>
      <c r="J22" s="579"/>
      <c r="K22" s="578">
        <v>0</v>
      </c>
      <c r="L22" s="577">
        <v>0</v>
      </c>
      <c r="M22" s="576">
        <f>SUM(J22:L22)</f>
        <v>0</v>
      </c>
      <c r="N22" s="575">
        <v>0</v>
      </c>
      <c r="O22" s="543">
        <f>M22+N22</f>
        <v>0</v>
      </c>
      <c r="P22" s="579"/>
      <c r="Q22" s="578"/>
      <c r="R22" s="577"/>
      <c r="S22" s="576">
        <f>SUM(P22:R22)</f>
        <v>0</v>
      </c>
      <c r="T22" s="575"/>
      <c r="U22" s="320">
        <f>S22+T22</f>
        <v>0</v>
      </c>
      <c r="V22" s="579">
        <f>+J22</f>
        <v>0</v>
      </c>
      <c r="W22" s="578">
        <f>+K22</f>
        <v>0</v>
      </c>
      <c r="X22" s="577">
        <f>+L22</f>
        <v>0</v>
      </c>
      <c r="Y22" s="576">
        <f>SUM(V22:X22)</f>
        <v>0</v>
      </c>
      <c r="Z22" s="575">
        <f>+N22</f>
        <v>0</v>
      </c>
      <c r="AA22" s="543">
        <f>Y22+Z22</f>
        <v>0</v>
      </c>
      <c r="AB22" s="280" t="e">
        <f>(AA22/O22)</f>
        <v>#DIV/0!</v>
      </c>
      <c r="AC22" s="4"/>
      <c r="AD22" s="4"/>
    </row>
    <row r="23" spans="1:31" ht="15.75" thickBot="1" x14ac:dyDescent="0.3">
      <c r="A23" s="4"/>
      <c r="B23" s="399" t="s">
        <v>15</v>
      </c>
      <c r="C23" s="398" t="s">
        <v>6</v>
      </c>
      <c r="D23" s="574"/>
      <c r="E23" s="573"/>
      <c r="F23" s="572"/>
      <c r="G23" s="571">
        <f>SUM(D23:F23)</f>
        <v>0</v>
      </c>
      <c r="H23" s="570"/>
      <c r="I23" s="538">
        <f>G23+H23</f>
        <v>0</v>
      </c>
      <c r="J23" s="574"/>
      <c r="K23" s="573">
        <v>0</v>
      </c>
      <c r="L23" s="572">
        <v>0</v>
      </c>
      <c r="M23" s="571">
        <f>SUM(J23:L23)</f>
        <v>0</v>
      </c>
      <c r="N23" s="570">
        <v>0</v>
      </c>
      <c r="O23" s="538">
        <f>M23+N23</f>
        <v>0</v>
      </c>
      <c r="P23" s="574"/>
      <c r="Q23" s="573"/>
      <c r="R23" s="572"/>
      <c r="S23" s="571">
        <f>SUM(P23:R23)</f>
        <v>0</v>
      </c>
      <c r="T23" s="570"/>
      <c r="U23" s="309">
        <f>S23+T23</f>
        <v>0</v>
      </c>
      <c r="V23" s="574">
        <f>+J23</f>
        <v>0</v>
      </c>
      <c r="W23" s="573">
        <f>+K23</f>
        <v>0</v>
      </c>
      <c r="X23" s="572">
        <f>+L23</f>
        <v>0</v>
      </c>
      <c r="Y23" s="571">
        <f>SUM(V23:X23)</f>
        <v>0</v>
      </c>
      <c r="Z23" s="570">
        <f>+N23</f>
        <v>0</v>
      </c>
      <c r="AA23" s="538">
        <f>Y23+Z23</f>
        <v>0</v>
      </c>
      <c r="AB23" s="308" t="e">
        <f>(AA23/O23)</f>
        <v>#DIV/0!</v>
      </c>
      <c r="AC23" s="4"/>
      <c r="AD23" s="4"/>
    </row>
    <row r="24" spans="1:31" ht="15.75" thickBot="1" x14ac:dyDescent="0.3">
      <c r="A24" s="4"/>
      <c r="B24" s="307" t="s">
        <v>17</v>
      </c>
      <c r="C24" s="387" t="s">
        <v>8</v>
      </c>
      <c r="D24" s="569">
        <f>SUM(D15:D21)</f>
        <v>51600000.000000007</v>
      </c>
      <c r="E24" s="568">
        <f>SUM(E15:E21)</f>
        <v>1857590</v>
      </c>
      <c r="F24" s="568">
        <f>SUM(F15:F21)</f>
        <v>46088534.899999999</v>
      </c>
      <c r="G24" s="567">
        <f>SUM(D24:F24)</f>
        <v>99546124.900000006</v>
      </c>
      <c r="H24" s="566">
        <f>SUM(H15:H21)</f>
        <v>11418221.420000002</v>
      </c>
      <c r="I24" s="566">
        <f>SUM(I15:I21)</f>
        <v>110964346.32000002</v>
      </c>
      <c r="J24" s="386">
        <f>SUM(J15:J21)</f>
        <v>54300000</v>
      </c>
      <c r="K24" s="385">
        <f>SUM(K15:K21)</f>
        <v>1100000</v>
      </c>
      <c r="L24" s="385">
        <f>SUM(L15:L21)</f>
        <v>37800000</v>
      </c>
      <c r="M24" s="384">
        <f>SUM(J24:L24)</f>
        <v>93200000</v>
      </c>
      <c r="N24" s="383">
        <f>SUM(N15:N21)</f>
        <v>8500000</v>
      </c>
      <c r="O24" s="383">
        <f>SUM(O15:O21)</f>
        <v>101700000</v>
      </c>
      <c r="P24" s="382">
        <f>SUM(P15:P21)</f>
        <v>27150000</v>
      </c>
      <c r="Q24" s="381">
        <f>SUM(Q15:Q21)</f>
        <v>472155.66000000003</v>
      </c>
      <c r="R24" s="381">
        <f>SUM(R15:R21)</f>
        <v>18116251.48</v>
      </c>
      <c r="S24" s="380">
        <f>SUM(P24:R24)</f>
        <v>45738407.140000001</v>
      </c>
      <c r="T24" s="379">
        <f>SUM(T15:T21)</f>
        <v>5531652.79</v>
      </c>
      <c r="U24" s="379">
        <f>SUM(U15:U21)</f>
        <v>51270059.929999992</v>
      </c>
      <c r="V24" s="569">
        <f>SUM(V15:V21)</f>
        <v>52000000</v>
      </c>
      <c r="W24" s="568">
        <f>SUM(W15:W21)</f>
        <v>1800000</v>
      </c>
      <c r="X24" s="568">
        <f>SUM(X15:X21)</f>
        <v>48700000</v>
      </c>
      <c r="Y24" s="567">
        <f>SUM(V24:X24)</f>
        <v>102500000</v>
      </c>
      <c r="Z24" s="566">
        <f>SUM(Z15:Z21)</f>
        <v>10500000</v>
      </c>
      <c r="AA24" s="566">
        <f>SUM(AA15:AA21)</f>
        <v>113000000</v>
      </c>
      <c r="AB24" s="378">
        <f>(AA24/O24)</f>
        <v>1.1111111111111112</v>
      </c>
      <c r="AC24" s="4"/>
      <c r="AD24" s="491"/>
      <c r="AE24" s="565"/>
    </row>
    <row r="25" spans="1:31" ht="15.75" customHeight="1" thickBot="1" x14ac:dyDescent="0.3">
      <c r="A25" s="4"/>
      <c r="B25" s="377"/>
      <c r="C25" s="376"/>
      <c r="D25" s="564" t="s">
        <v>68</v>
      </c>
      <c r="E25" s="563"/>
      <c r="F25" s="563"/>
      <c r="G25" s="562"/>
      <c r="H25" s="562"/>
      <c r="I25" s="561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564" t="s">
        <v>68</v>
      </c>
      <c r="W25" s="563"/>
      <c r="X25" s="563"/>
      <c r="Y25" s="562"/>
      <c r="Z25" s="562"/>
      <c r="AA25" s="561"/>
      <c r="AB25" s="367" t="s">
        <v>176</v>
      </c>
      <c r="AC25" s="4"/>
      <c r="AD25" s="4"/>
    </row>
    <row r="26" spans="1:31" ht="15.75" thickBot="1" x14ac:dyDescent="0.3">
      <c r="A26" s="4"/>
      <c r="B26" s="366" t="s">
        <v>37</v>
      </c>
      <c r="C26" s="365" t="s">
        <v>38</v>
      </c>
      <c r="D26" s="560" t="s">
        <v>69</v>
      </c>
      <c r="E26" s="559"/>
      <c r="F26" s="559"/>
      <c r="G26" s="558" t="s">
        <v>64</v>
      </c>
      <c r="H26" s="557" t="s">
        <v>67</v>
      </c>
      <c r="I26" s="556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560" t="s">
        <v>69</v>
      </c>
      <c r="W26" s="559"/>
      <c r="X26" s="559"/>
      <c r="Y26" s="558" t="s">
        <v>64</v>
      </c>
      <c r="Z26" s="557" t="s">
        <v>67</v>
      </c>
      <c r="AA26" s="556" t="s">
        <v>68</v>
      </c>
      <c r="AB26" s="354"/>
      <c r="AC26" s="4"/>
      <c r="AD26" s="4"/>
    </row>
    <row r="27" spans="1:31" ht="15.75" thickBot="1" x14ac:dyDescent="0.3">
      <c r="A27" s="4"/>
      <c r="B27" s="353"/>
      <c r="C27" s="352"/>
      <c r="D27" s="555" t="s">
        <v>54</v>
      </c>
      <c r="E27" s="554" t="s">
        <v>55</v>
      </c>
      <c r="F27" s="553" t="s">
        <v>56</v>
      </c>
      <c r="G27" s="552"/>
      <c r="H27" s="551"/>
      <c r="I27" s="55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555" t="s">
        <v>54</v>
      </c>
      <c r="W27" s="554" t="s">
        <v>55</v>
      </c>
      <c r="X27" s="553" t="s">
        <v>56</v>
      </c>
      <c r="Y27" s="552"/>
      <c r="Z27" s="551"/>
      <c r="AA27" s="550"/>
      <c r="AB27" s="339"/>
      <c r="AC27" s="4"/>
      <c r="AD27" s="4"/>
    </row>
    <row r="28" spans="1:31" x14ac:dyDescent="0.25">
      <c r="A28" s="4"/>
      <c r="B28" s="338" t="s">
        <v>19</v>
      </c>
      <c r="C28" s="337" t="s">
        <v>10</v>
      </c>
      <c r="D28" s="548">
        <v>3435943.7250000006</v>
      </c>
      <c r="E28" s="548"/>
      <c r="F28" s="548">
        <f>6871887.45-D28-E28</f>
        <v>3435943.7249999996</v>
      </c>
      <c r="G28" s="547">
        <f>SUM(D28:F28)</f>
        <v>6871887.4500000002</v>
      </c>
      <c r="H28" s="547">
        <v>260519.03</v>
      </c>
      <c r="I28" s="546">
        <f>G28+H28</f>
        <v>7132406.4800000004</v>
      </c>
      <c r="J28" s="549">
        <v>4200000</v>
      </c>
      <c r="K28" s="548">
        <v>0</v>
      </c>
      <c r="L28" s="548">
        <v>2000000</v>
      </c>
      <c r="M28" s="547">
        <f>SUM(J28:L28)</f>
        <v>6200000</v>
      </c>
      <c r="N28" s="547">
        <v>200000</v>
      </c>
      <c r="O28" s="546">
        <f>M28+N28</f>
        <v>6400000</v>
      </c>
      <c r="P28" s="549">
        <v>2262171.2940000002</v>
      </c>
      <c r="Q28" s="548"/>
      <c r="R28" s="548">
        <v>1508114.196</v>
      </c>
      <c r="S28" s="547">
        <f>SUM(P28:R28)</f>
        <v>3770285.49</v>
      </c>
      <c r="T28" s="547">
        <v>9790</v>
      </c>
      <c r="U28" s="331">
        <f>S28+T28</f>
        <v>3780075.49</v>
      </c>
      <c r="V28" s="549">
        <f>4000000-500000</f>
        <v>3500000</v>
      </c>
      <c r="W28" s="548">
        <f>+K28</f>
        <v>0</v>
      </c>
      <c r="X28" s="548">
        <f>3800000+500000</f>
        <v>4300000</v>
      </c>
      <c r="Y28" s="547">
        <f>SUM(V28:X28)</f>
        <v>7800000</v>
      </c>
      <c r="Z28" s="547">
        <f>+N28</f>
        <v>200000</v>
      </c>
      <c r="AA28" s="546">
        <f>Y28+Z28</f>
        <v>8000000</v>
      </c>
      <c r="AB28" s="280">
        <f>(AA28/O28)</f>
        <v>1.25</v>
      </c>
      <c r="AC28" s="4"/>
      <c r="AD28" s="4"/>
    </row>
    <row r="29" spans="1:31" x14ac:dyDescent="0.25">
      <c r="A29" s="4"/>
      <c r="B29" s="326" t="s">
        <v>20</v>
      </c>
      <c r="C29" s="325" t="s">
        <v>12</v>
      </c>
      <c r="D29" s="544">
        <v>6252542.3899999997</v>
      </c>
      <c r="E29" s="544">
        <f>554580+54295+7275+5766+50000</f>
        <v>671916</v>
      </c>
      <c r="F29" s="544">
        <f>12505084.78-D29-E29</f>
        <v>5580626.3899999997</v>
      </c>
      <c r="G29" s="542">
        <f>SUM(D29:F29)</f>
        <v>12505084.779999999</v>
      </c>
      <c r="H29" s="542">
        <v>625024.89999999991</v>
      </c>
      <c r="I29" s="543">
        <f>G29+H29</f>
        <v>13130109.68</v>
      </c>
      <c r="J29" s="545">
        <v>6000000</v>
      </c>
      <c r="K29" s="544">
        <v>600000</v>
      </c>
      <c r="L29" s="544">
        <v>3000000</v>
      </c>
      <c r="M29" s="542">
        <f>SUM(J29:L29)</f>
        <v>9600000</v>
      </c>
      <c r="N29" s="542">
        <v>1000000</v>
      </c>
      <c r="O29" s="543">
        <f>M29+N29</f>
        <v>10600000</v>
      </c>
      <c r="P29" s="545">
        <f>3712233.834-Q29</f>
        <v>3501891.7739999997</v>
      </c>
      <c r="Q29" s="544">
        <f>178054+32288.06</f>
        <v>210342.06</v>
      </c>
      <c r="R29" s="544">
        <v>2474822.5559999999</v>
      </c>
      <c r="S29" s="542">
        <f>SUM(P29:R29)</f>
        <v>6187056.3899999997</v>
      </c>
      <c r="T29" s="542">
        <v>71370.91</v>
      </c>
      <c r="U29" s="320">
        <f>S29+T29</f>
        <v>6258427.2999999998</v>
      </c>
      <c r="V29" s="545">
        <f>6500000-726200+60840-1000000+900000-145000</f>
        <v>5589640</v>
      </c>
      <c r="W29" s="544">
        <v>600000</v>
      </c>
      <c r="X29" s="544">
        <f>3500000+726200-60840+1000000-900000+145000</f>
        <v>4410360</v>
      </c>
      <c r="Y29" s="542">
        <f>SUM(V29:X29)</f>
        <v>10600000</v>
      </c>
      <c r="Z29" s="542">
        <v>700000</v>
      </c>
      <c r="AA29" s="543">
        <f>Y29+Z29</f>
        <v>11300000</v>
      </c>
      <c r="AB29" s="280">
        <f>(AA29/O29)</f>
        <v>1.0660377358490567</v>
      </c>
      <c r="AC29" s="4"/>
      <c r="AD29" s="4"/>
      <c r="AE29" s="490"/>
    </row>
    <row r="30" spans="1:31" x14ac:dyDescent="0.25">
      <c r="A30" s="4"/>
      <c r="B30" s="326" t="s">
        <v>22</v>
      </c>
      <c r="C30" s="325" t="s">
        <v>14</v>
      </c>
      <c r="D30" s="544">
        <v>2425820.85</v>
      </c>
      <c r="E30" s="544">
        <f>72600+25153+33600</f>
        <v>131353</v>
      </c>
      <c r="F30" s="544">
        <f>4851641.7-D30-E30</f>
        <v>2294467.85</v>
      </c>
      <c r="G30" s="542">
        <f>SUM(D30:F30)</f>
        <v>4851641.7</v>
      </c>
      <c r="H30" s="542">
        <v>225356.73</v>
      </c>
      <c r="I30" s="543">
        <f>G30+H30</f>
        <v>5076998.4300000006</v>
      </c>
      <c r="J30" s="545">
        <v>5000000</v>
      </c>
      <c r="K30" s="544">
        <v>0</v>
      </c>
      <c r="L30" s="544">
        <v>2000000</v>
      </c>
      <c r="M30" s="542">
        <f>SUM(J30:L30)</f>
        <v>7000000</v>
      </c>
      <c r="N30" s="542">
        <v>200000</v>
      </c>
      <c r="O30" s="543">
        <f>M30+N30</f>
        <v>7200000</v>
      </c>
      <c r="P30" s="545">
        <v>2020173.5460000001</v>
      </c>
      <c r="Q30" s="544"/>
      <c r="R30" s="544">
        <v>1346782.3640000001</v>
      </c>
      <c r="S30" s="542">
        <f>SUM(P30:R30)</f>
        <v>3366955.91</v>
      </c>
      <c r="T30" s="542">
        <v>8364.86</v>
      </c>
      <c r="U30" s="320">
        <f>S30+T30</f>
        <v>3375320.77</v>
      </c>
      <c r="V30" s="545">
        <v>2700000</v>
      </c>
      <c r="W30" s="544">
        <v>50000</v>
      </c>
      <c r="X30" s="544">
        <v>3350000</v>
      </c>
      <c r="Y30" s="542">
        <f>SUM(V30:X30)</f>
        <v>6100000</v>
      </c>
      <c r="Z30" s="542">
        <f>+N30</f>
        <v>200000</v>
      </c>
      <c r="AA30" s="543">
        <f>Y30+Z30</f>
        <v>6300000</v>
      </c>
      <c r="AB30" s="280">
        <f>(AA30/O30)</f>
        <v>0.875</v>
      </c>
      <c r="AC30" s="4"/>
      <c r="AD30" s="4"/>
    </row>
    <row r="31" spans="1:31" x14ac:dyDescent="0.25">
      <c r="A31" s="4"/>
      <c r="B31" s="326" t="s">
        <v>24</v>
      </c>
      <c r="C31" s="325" t="s">
        <v>16</v>
      </c>
      <c r="D31" s="544">
        <v>7422910.6500000004</v>
      </c>
      <c r="E31" s="544">
        <f>118863+31210+2059+6400</f>
        <v>158532</v>
      </c>
      <c r="F31" s="544">
        <f>14845821.3-D31-E31</f>
        <v>7264378.6500000004</v>
      </c>
      <c r="G31" s="542">
        <f>SUM(D31:F31)</f>
        <v>14845821.300000001</v>
      </c>
      <c r="H31" s="542">
        <v>250878.13</v>
      </c>
      <c r="I31" s="543">
        <f>G31+H31</f>
        <v>15096699.430000002</v>
      </c>
      <c r="J31" s="545">
        <v>6000000</v>
      </c>
      <c r="K31" s="544">
        <v>300000</v>
      </c>
      <c r="L31" s="544">
        <v>3500000</v>
      </c>
      <c r="M31" s="542">
        <f>SUM(J31:L31)</f>
        <v>9800000</v>
      </c>
      <c r="N31" s="542">
        <v>400000</v>
      </c>
      <c r="O31" s="543">
        <f>M31+N31</f>
        <v>10200000</v>
      </c>
      <c r="P31" s="545">
        <v>4121362.44</v>
      </c>
      <c r="Q31" s="544"/>
      <c r="R31" s="544">
        <v>2747574.9600000004</v>
      </c>
      <c r="S31" s="542">
        <f>SUM(P31:R31)</f>
        <v>6868937.4000000004</v>
      </c>
      <c r="T31" s="542">
        <v>22320.17</v>
      </c>
      <c r="U31" s="320">
        <f>S31+T31</f>
        <v>6891257.5700000003</v>
      </c>
      <c r="V31" s="545">
        <v>5000000</v>
      </c>
      <c r="W31" s="544">
        <v>200000</v>
      </c>
      <c r="X31" s="544">
        <f>6100000+150000+700000+1000000</f>
        <v>7950000</v>
      </c>
      <c r="Y31" s="542">
        <f>SUM(V31:X31)</f>
        <v>13150000</v>
      </c>
      <c r="Z31" s="542">
        <v>250000</v>
      </c>
      <c r="AA31" s="543">
        <f>Y31+Z31</f>
        <v>13400000</v>
      </c>
      <c r="AB31" s="280">
        <f>(AA31/O31)</f>
        <v>1.3137254901960784</v>
      </c>
      <c r="AC31" s="4"/>
      <c r="AD31" s="4"/>
    </row>
    <row r="32" spans="1:31" x14ac:dyDescent="0.25">
      <c r="A32" s="4"/>
      <c r="B32" s="326" t="s">
        <v>26</v>
      </c>
      <c r="C32" s="325" t="s">
        <v>18</v>
      </c>
      <c r="D32" s="543">
        <f>+D33+D34</f>
        <v>15025763.164499998</v>
      </c>
      <c r="E32" s="543">
        <f>+E33+E34</f>
        <v>605397</v>
      </c>
      <c r="F32" s="543">
        <f>+F33+F34</f>
        <v>17759424.645500001</v>
      </c>
      <c r="G32" s="542">
        <f>SUM(D32:F32)</f>
        <v>33390584.809999999</v>
      </c>
      <c r="H32" s="543">
        <f>+H33+H34</f>
        <v>3034842.1900000004</v>
      </c>
      <c r="I32" s="543">
        <f>G32+H32</f>
        <v>36425427</v>
      </c>
      <c r="J32" s="545">
        <v>18700000</v>
      </c>
      <c r="K32" s="545">
        <v>200000</v>
      </c>
      <c r="L32" s="545">
        <v>18226000</v>
      </c>
      <c r="M32" s="542">
        <f>SUM(J32:L32)</f>
        <v>37126000</v>
      </c>
      <c r="N32" s="542">
        <v>1560000</v>
      </c>
      <c r="O32" s="543">
        <f>M32+N32</f>
        <v>38686000</v>
      </c>
      <c r="P32" s="542">
        <f>+P33+P34</f>
        <v>9525355.7999999989</v>
      </c>
      <c r="Q32" s="542">
        <f>+Q33+Q34</f>
        <v>261813.6</v>
      </c>
      <c r="R32" s="542">
        <f>+R33+R34</f>
        <v>6524779.6000000006</v>
      </c>
      <c r="S32" s="542">
        <f>SUM(P32:R32)</f>
        <v>16311949</v>
      </c>
      <c r="T32" s="542">
        <v>302927</v>
      </c>
      <c r="U32" s="315">
        <f>+U33+U34</f>
        <v>16614876</v>
      </c>
      <c r="V32" s="544">
        <f>+V33+V34</f>
        <v>19400000</v>
      </c>
      <c r="W32" s="544">
        <f>+W33+W34</f>
        <v>500000</v>
      </c>
      <c r="X32" s="544">
        <f>+X33+X34</f>
        <v>19870000</v>
      </c>
      <c r="Y32" s="544">
        <f>+Y33+Y34</f>
        <v>39770000</v>
      </c>
      <c r="Z32" s="544">
        <f>+Z33+Z34</f>
        <v>3030000</v>
      </c>
      <c r="AA32" s="544">
        <f>+AA33+AA34</f>
        <v>42800000</v>
      </c>
      <c r="AB32" s="280">
        <f>(AA32/O32)</f>
        <v>1.1063433800341209</v>
      </c>
      <c r="AC32" s="4"/>
      <c r="AD32" s="4"/>
    </row>
    <row r="33" spans="1:30" x14ac:dyDescent="0.25">
      <c r="A33" s="4"/>
      <c r="B33" s="326" t="s">
        <v>28</v>
      </c>
      <c r="C33" s="330" t="s">
        <v>42</v>
      </c>
      <c r="D33" s="544">
        <f>29788332.56*0.45</f>
        <v>13404749.651999999</v>
      </c>
      <c r="E33" s="544">
        <f>275685+257712+72000</f>
        <v>605397</v>
      </c>
      <c r="F33" s="544">
        <f>+[2]střediska!$F$149+[2]střediska!$F$151+[2]střediska!$F$158-D33-E33</f>
        <v>15778185.908</v>
      </c>
      <c r="G33" s="542">
        <f>SUM(D33:F33)</f>
        <v>29788332.559999999</v>
      </c>
      <c r="H33" s="542">
        <v>2606088.4400000004</v>
      </c>
      <c r="I33" s="543">
        <f>G33+H33</f>
        <v>32394421</v>
      </c>
      <c r="J33" s="545">
        <v>16400000</v>
      </c>
      <c r="K33" s="544">
        <v>200000</v>
      </c>
      <c r="L33" s="544">
        <v>15926000</v>
      </c>
      <c r="M33" s="542">
        <f>SUM(J33:L33)</f>
        <v>32526000</v>
      </c>
      <c r="N33" s="542">
        <v>1400000</v>
      </c>
      <c r="O33" s="543">
        <f>M33+N33</f>
        <v>33926000</v>
      </c>
      <c r="P33" s="545">
        <f>8771902.2-Q33</f>
        <v>8510088.5999999996</v>
      </c>
      <c r="Q33" s="544">
        <f>166620+95193.6</f>
        <v>261813.6</v>
      </c>
      <c r="R33" s="544">
        <v>5847934.8000000007</v>
      </c>
      <c r="S33" s="542">
        <f>SUM(P33:R33)</f>
        <v>14619837</v>
      </c>
      <c r="T33" s="542">
        <v>289802</v>
      </c>
      <c r="U33" s="320">
        <f>S33+T33</f>
        <v>14909639</v>
      </c>
      <c r="V33" s="545">
        <f>19000000-1120000-280000</f>
        <v>17600000</v>
      </c>
      <c r="W33" s="544">
        <v>500000</v>
      </c>
      <c r="X33" s="544">
        <f>16650000+500000+20000</f>
        <v>17170000</v>
      </c>
      <c r="Y33" s="542">
        <f>SUM(V33:X33)</f>
        <v>35270000</v>
      </c>
      <c r="Z33" s="542">
        <f>2990000-120000</f>
        <v>2870000</v>
      </c>
      <c r="AA33" s="543">
        <f>Y33+Z33</f>
        <v>38140000</v>
      </c>
      <c r="AB33" s="280">
        <f>(AA33/O33)</f>
        <v>1.1242115191888227</v>
      </c>
      <c r="AC33" s="4"/>
      <c r="AD33" s="4"/>
    </row>
    <row r="34" spans="1:30" x14ac:dyDescent="0.25">
      <c r="A34" s="4"/>
      <c r="B34" s="326" t="s">
        <v>30</v>
      </c>
      <c r="C34" s="329" t="s">
        <v>21</v>
      </c>
      <c r="D34" s="544">
        <v>1621013.5125</v>
      </c>
      <c r="E34" s="544"/>
      <c r="F34" s="544">
        <v>1981238.7375</v>
      </c>
      <c r="G34" s="542">
        <f>SUM(D34:F34)</f>
        <v>3602252.25</v>
      </c>
      <c r="H34" s="542">
        <v>428753.75</v>
      </c>
      <c r="I34" s="543">
        <f>G34+H34</f>
        <v>4031006</v>
      </c>
      <c r="J34" s="545">
        <v>2300000</v>
      </c>
      <c r="K34" s="544">
        <v>0</v>
      </c>
      <c r="L34" s="544">
        <v>2300000</v>
      </c>
      <c r="M34" s="542">
        <f>SUM(J34:L34)</f>
        <v>4600000</v>
      </c>
      <c r="N34" s="542">
        <v>160000</v>
      </c>
      <c r="O34" s="543">
        <f>M34+N34</f>
        <v>4760000</v>
      </c>
      <c r="P34" s="545">
        <v>1015267.2</v>
      </c>
      <c r="Q34" s="544"/>
      <c r="R34" s="544">
        <v>676844.8</v>
      </c>
      <c r="S34" s="542">
        <f>SUM(P34:R34)</f>
        <v>1692112</v>
      </c>
      <c r="T34" s="542">
        <v>13125</v>
      </c>
      <c r="U34" s="320">
        <f>S34+T34</f>
        <v>1705237</v>
      </c>
      <c r="V34" s="545">
        <v>1800000</v>
      </c>
      <c r="W34" s="544">
        <f>+K34</f>
        <v>0</v>
      </c>
      <c r="X34" s="544">
        <v>2700000</v>
      </c>
      <c r="Y34" s="542">
        <f>SUM(V34:X34)</f>
        <v>4500000</v>
      </c>
      <c r="Z34" s="542">
        <v>160000</v>
      </c>
      <c r="AA34" s="543">
        <f>Y34+Z34</f>
        <v>4660000</v>
      </c>
      <c r="AB34" s="280">
        <f>(AA34/O34)</f>
        <v>0.97899159663865543</v>
      </c>
      <c r="AC34" s="4"/>
      <c r="AD34" s="4"/>
    </row>
    <row r="35" spans="1:30" x14ac:dyDescent="0.25">
      <c r="A35" s="4"/>
      <c r="B35" s="326" t="s">
        <v>32</v>
      </c>
      <c r="C35" s="325" t="s">
        <v>23</v>
      </c>
      <c r="D35" s="544">
        <v>4761503.113499999</v>
      </c>
      <c r="E35" s="544">
        <v>180288</v>
      </c>
      <c r="F35" s="544">
        <v>5639326.9164999984</v>
      </c>
      <c r="G35" s="542">
        <f>SUM(D35:F35)</f>
        <v>10581118.029999997</v>
      </c>
      <c r="H35" s="542">
        <v>967802.96000000008</v>
      </c>
      <c r="I35" s="543">
        <f>G35+H35</f>
        <v>11548920.989999998</v>
      </c>
      <c r="J35" s="545">
        <v>6000000</v>
      </c>
      <c r="K35" s="544">
        <v>0</v>
      </c>
      <c r="L35" s="544">
        <v>5560000</v>
      </c>
      <c r="M35" s="542">
        <f>SUM(J35:L35)</f>
        <v>11560000</v>
      </c>
      <c r="N35" s="542">
        <v>480000</v>
      </c>
      <c r="O35" s="543">
        <f>M35+N35</f>
        <v>12040000</v>
      </c>
      <c r="P35" s="545">
        <v>3116880.2220000001</v>
      </c>
      <c r="Q35" s="544"/>
      <c r="R35" s="544">
        <v>2077920.148</v>
      </c>
      <c r="S35" s="542">
        <f>SUM(P35:R35)</f>
        <v>5194800.37</v>
      </c>
      <c r="T35" s="542">
        <v>94916.63</v>
      </c>
      <c r="U35" s="320">
        <f>S35+T35</f>
        <v>5289717</v>
      </c>
      <c r="V35" s="545">
        <f>6285360-75000</f>
        <v>6210360</v>
      </c>
      <c r="W35" s="544">
        <f>+K35</f>
        <v>0</v>
      </c>
      <c r="X35" s="545">
        <f>6164020-10000</f>
        <v>6154020</v>
      </c>
      <c r="Y35" s="542">
        <f>SUM(V35:X35)</f>
        <v>12364380</v>
      </c>
      <c r="Z35" s="545">
        <f>1010620-35000</f>
        <v>975620</v>
      </c>
      <c r="AA35" s="543">
        <f>Y35+Z35</f>
        <v>13340000</v>
      </c>
      <c r="AB35" s="280">
        <f>(AA35/O35)</f>
        <v>1.1079734219269104</v>
      </c>
      <c r="AC35" s="4"/>
      <c r="AD35" s="4"/>
    </row>
    <row r="36" spans="1:30" x14ac:dyDescent="0.25">
      <c r="A36" s="4"/>
      <c r="B36" s="326" t="s">
        <v>33</v>
      </c>
      <c r="C36" s="325" t="s">
        <v>25</v>
      </c>
      <c r="D36" s="544">
        <v>27639</v>
      </c>
      <c r="E36" s="544"/>
      <c r="G36" s="542">
        <f>SUM(D36:F36)</f>
        <v>27639</v>
      </c>
      <c r="H36" s="542">
        <v>0</v>
      </c>
      <c r="I36" s="543">
        <f>G36+H36</f>
        <v>27639</v>
      </c>
      <c r="J36" s="545">
        <v>0</v>
      </c>
      <c r="K36" s="544">
        <v>0</v>
      </c>
      <c r="L36" s="544">
        <v>50000</v>
      </c>
      <c r="M36" s="542">
        <f>SUM(J36:L36)</f>
        <v>50000</v>
      </c>
      <c r="N36" s="542">
        <v>0</v>
      </c>
      <c r="O36" s="543">
        <f>M36+N36</f>
        <v>50000</v>
      </c>
      <c r="P36" s="545"/>
      <c r="Q36" s="544"/>
      <c r="R36" s="544">
        <v>230779.58</v>
      </c>
      <c r="S36" s="542">
        <f>SUM(P36:R36)</f>
        <v>230779.58</v>
      </c>
      <c r="T36" s="542">
        <v>0</v>
      </c>
      <c r="U36" s="320">
        <f>S36+T36</f>
        <v>230779.58</v>
      </c>
      <c r="V36" s="545">
        <v>50000</v>
      </c>
      <c r="W36" s="544">
        <f>+K36</f>
        <v>0</v>
      </c>
      <c r="X36" s="544">
        <v>0</v>
      </c>
      <c r="Y36" s="542">
        <f>SUM(V36:X36)</f>
        <v>50000</v>
      </c>
      <c r="Z36" s="542">
        <f>+N36</f>
        <v>0</v>
      </c>
      <c r="AA36" s="543">
        <f>Y36+Z36</f>
        <v>50000</v>
      </c>
      <c r="AB36" s="280">
        <f>(AA36/O36)</f>
        <v>1</v>
      </c>
      <c r="AC36" s="4"/>
      <c r="AD36" s="4"/>
    </row>
    <row r="37" spans="1:30" x14ac:dyDescent="0.25">
      <c r="A37" s="4"/>
      <c r="B37" s="326" t="s">
        <v>34</v>
      </c>
      <c r="C37" s="325" t="s">
        <v>27</v>
      </c>
      <c r="D37" s="544">
        <v>8529164.1999999993</v>
      </c>
      <c r="E37" s="544"/>
      <c r="F37" s="544"/>
      <c r="G37" s="542">
        <f>SUM(D37:F37)</f>
        <v>8529164.1999999993</v>
      </c>
      <c r="H37" s="542">
        <v>1524018.25</v>
      </c>
      <c r="I37" s="543">
        <f>G37+H37</f>
        <v>10053182.449999999</v>
      </c>
      <c r="J37" s="545">
        <v>7447000</v>
      </c>
      <c r="K37" s="544">
        <v>0</v>
      </c>
      <c r="L37" s="544">
        <v>1300000</v>
      </c>
      <c r="M37" s="542">
        <f>SUM(J37:L37)</f>
        <v>8747000</v>
      </c>
      <c r="N37" s="542">
        <v>1700000</v>
      </c>
      <c r="O37" s="543">
        <f>M37+N37</f>
        <v>10447000</v>
      </c>
      <c r="P37" s="545">
        <v>4293112.66</v>
      </c>
      <c r="Q37" s="544"/>
      <c r="R37" s="544"/>
      <c r="S37" s="542">
        <f>SUM(P37:R37)</f>
        <v>4293112.66</v>
      </c>
      <c r="T37" s="542">
        <v>770229</v>
      </c>
      <c r="U37" s="320">
        <f>S37+T37</f>
        <v>5063341.66</v>
      </c>
      <c r="V37" s="545">
        <v>8500000</v>
      </c>
      <c r="W37" s="544">
        <f>+K37</f>
        <v>0</v>
      </c>
      <c r="X37" s="544">
        <v>0</v>
      </c>
      <c r="Y37" s="542">
        <f>SUM(V37:X37)</f>
        <v>8500000</v>
      </c>
      <c r="Z37" s="542">
        <f>+N37</f>
        <v>1700000</v>
      </c>
      <c r="AA37" s="543">
        <f>Y37+Z37</f>
        <v>10200000</v>
      </c>
      <c r="AB37" s="280">
        <f>(AA37/O37)</f>
        <v>0.97635684885613094</v>
      </c>
      <c r="AC37" s="4"/>
      <c r="AD37" s="4"/>
    </row>
    <row r="38" spans="1:30" ht="15.75" thickBot="1" x14ac:dyDescent="0.3">
      <c r="A38" s="4"/>
      <c r="B38" s="317" t="s">
        <v>35</v>
      </c>
      <c r="C38" s="316" t="s">
        <v>29</v>
      </c>
      <c r="D38" s="540">
        <v>3718712.9</v>
      </c>
      <c r="E38" s="540">
        <v>110104</v>
      </c>
      <c r="F38" s="540">
        <v>4278641.2650000006</v>
      </c>
      <c r="G38" s="542">
        <f>SUM(D38:F38)</f>
        <v>8107458.165000001</v>
      </c>
      <c r="H38" s="539">
        <v>3067863.71</v>
      </c>
      <c r="I38" s="538">
        <f>G38+H38</f>
        <v>11175321.875</v>
      </c>
      <c r="J38" s="541">
        <v>953000</v>
      </c>
      <c r="K38" s="540">
        <v>0</v>
      </c>
      <c r="L38" s="540">
        <v>2750000</v>
      </c>
      <c r="M38" s="539">
        <f>SUM(J38:L38)</f>
        <v>3703000</v>
      </c>
      <c r="N38" s="539">
        <v>2374000</v>
      </c>
      <c r="O38" s="538">
        <f>M38+N38</f>
        <v>6077000</v>
      </c>
      <c r="P38" s="541"/>
      <c r="Q38" s="540"/>
      <c r="R38" s="540">
        <v>2615979.5199999996</v>
      </c>
      <c r="S38" s="539">
        <f>SUM(P38:R38)</f>
        <v>2615979.5199999996</v>
      </c>
      <c r="T38" s="539">
        <v>1267075</v>
      </c>
      <c r="U38" s="309">
        <f>S38+T38</f>
        <v>3883054.5199999996</v>
      </c>
      <c r="V38" s="541">
        <v>1050000</v>
      </c>
      <c r="W38" s="540">
        <v>450000</v>
      </c>
      <c r="X38" s="540">
        <f>3700000-622000</f>
        <v>3078000</v>
      </c>
      <c r="Y38" s="539">
        <f>SUM(V38:X38)</f>
        <v>4578000</v>
      </c>
      <c r="Z38" s="539">
        <v>3032000</v>
      </c>
      <c r="AA38" s="538">
        <f>Y38+Z38</f>
        <v>7610000</v>
      </c>
      <c r="AB38" s="308">
        <f>(AA38/O38)</f>
        <v>1.2522626295869672</v>
      </c>
      <c r="AC38" s="4"/>
      <c r="AD38" s="4"/>
    </row>
    <row r="39" spans="1:30" ht="15.75" thickBot="1" x14ac:dyDescent="0.3">
      <c r="A39" s="4"/>
      <c r="B39" s="307" t="s">
        <v>48</v>
      </c>
      <c r="C39" s="306" t="s">
        <v>31</v>
      </c>
      <c r="D39" s="537">
        <f>SUM(D35:D38)+SUM(D28:D32)</f>
        <v>51599999.993000001</v>
      </c>
      <c r="E39" s="537">
        <f>SUM(E35:E38)+SUM(E28:E32)</f>
        <v>1857590</v>
      </c>
      <c r="F39" s="537">
        <f>SUM(F35:F38)+SUM(F28:F32)</f>
        <v>46252809.442000002</v>
      </c>
      <c r="G39" s="536">
        <f>SUM(D39:F39)</f>
        <v>99710399.435000002</v>
      </c>
      <c r="H39" s="535">
        <f>SUM(H28:H32)+SUM(H35:H38)</f>
        <v>9956305.9000000004</v>
      </c>
      <c r="I39" s="534">
        <f>SUM(I35:I38)+SUM(I28:I32)</f>
        <v>109666705.33500001</v>
      </c>
      <c r="J39" s="305">
        <f>SUM(J35:J38)+SUM(J28:J32)</f>
        <v>54300000</v>
      </c>
      <c r="K39" s="305">
        <f>SUM(K35:K38)+SUM(K28:K32)</f>
        <v>1100000</v>
      </c>
      <c r="L39" s="305">
        <f>SUM(L35:L38)+SUM(L28:L32)</f>
        <v>38386000</v>
      </c>
      <c r="M39" s="304">
        <f>SUM(J39:L39)</f>
        <v>93786000</v>
      </c>
      <c r="N39" s="303">
        <f>SUM(N28:N32)+SUM(N35:N38)</f>
        <v>7914000</v>
      </c>
      <c r="O39" s="302">
        <f>SUM(O35:O38)+SUM(O28:O32)</f>
        <v>101700000</v>
      </c>
      <c r="P39" s="537">
        <f>SUM(P35:P38)+SUM(P28:P32)</f>
        <v>28840947.735999998</v>
      </c>
      <c r="Q39" s="537">
        <f>SUM(Q35:Q38)+SUM(Q28:Q32)</f>
        <v>472155.66000000003</v>
      </c>
      <c r="R39" s="537">
        <f>SUM(R35:R38)+SUM(R28:R32)</f>
        <v>19526752.924000002</v>
      </c>
      <c r="S39" s="536">
        <f>SUM(P39:R39)</f>
        <v>48839856.32</v>
      </c>
      <c r="T39" s="535">
        <f>SUM(T28:T32)+SUM(T35:T38)</f>
        <v>2546993.5699999998</v>
      </c>
      <c r="U39" s="298">
        <f>SUM(U35:U38)+SUM(U28:U32)</f>
        <v>51386849.889999993</v>
      </c>
      <c r="V39" s="537">
        <f>SUM(V35:V38)+SUM(V28:V32)</f>
        <v>52000000</v>
      </c>
      <c r="W39" s="537">
        <f>SUM(W35:W38)+SUM(W28:W32)</f>
        <v>1800000</v>
      </c>
      <c r="X39" s="537">
        <f>SUM(X35:X38)+SUM(X28:X32)</f>
        <v>49112380</v>
      </c>
      <c r="Y39" s="536">
        <f>SUM(V39:X39)</f>
        <v>102912380</v>
      </c>
      <c r="Z39" s="535">
        <f>SUM(Z28:Z32)+SUM(Z35:Z38)</f>
        <v>10087620</v>
      </c>
      <c r="AA39" s="534">
        <f>SUM(AA35:AA38)+SUM(AA28:AA32)</f>
        <v>113000000</v>
      </c>
      <c r="AB39" s="297">
        <f>(AA39/O39)</f>
        <v>1.1111111111111112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533">
        <f>D24-D39</f>
        <v>7.0000067353248596E-3</v>
      </c>
      <c r="E40" s="533">
        <f>E24-E39</f>
        <v>0</v>
      </c>
      <c r="F40" s="533">
        <f>F24-F39</f>
        <v>-164274.54200000316</v>
      </c>
      <c r="G40" s="532">
        <f>G24-G39</f>
        <v>-164274.53499999642</v>
      </c>
      <c r="H40" s="532">
        <f>H24-H39</f>
        <v>1461915.5200000014</v>
      </c>
      <c r="I40" s="531">
        <f>I24-I39</f>
        <v>1297640.9850000143</v>
      </c>
      <c r="J40" s="292">
        <f>J24-J39</f>
        <v>0</v>
      </c>
      <c r="K40" s="292">
        <f>K24-K39</f>
        <v>0</v>
      </c>
      <c r="L40" s="292">
        <f>L24-L39</f>
        <v>-586000</v>
      </c>
      <c r="M40" s="294">
        <f>M24-M39</f>
        <v>-586000</v>
      </c>
      <c r="N40" s="294">
        <f>N24-N39</f>
        <v>586000</v>
      </c>
      <c r="O40" s="293">
        <f>O24-O39</f>
        <v>0</v>
      </c>
      <c r="P40" s="292">
        <f>P24-P39</f>
        <v>-1690947.7359999977</v>
      </c>
      <c r="Q40" s="292">
        <f>Q24-Q39</f>
        <v>0</v>
      </c>
      <c r="R40" s="292">
        <f>R24-R39</f>
        <v>-1410501.444000002</v>
      </c>
      <c r="S40" s="291">
        <f>S24-S39</f>
        <v>-3101449.1799999997</v>
      </c>
      <c r="T40" s="291">
        <f>T24-T39</f>
        <v>2984659.22</v>
      </c>
      <c r="U40" s="290">
        <f>U24-U39</f>
        <v>-116789.96000000089</v>
      </c>
      <c r="V40" s="533">
        <f>V24-V39</f>
        <v>0</v>
      </c>
      <c r="W40" s="533">
        <f>W24-W39</f>
        <v>0</v>
      </c>
      <c r="X40" s="533">
        <f>X24-X39</f>
        <v>-412380</v>
      </c>
      <c r="Y40" s="532">
        <f>Y24-Y39</f>
        <v>-412380</v>
      </c>
      <c r="Z40" s="532">
        <f>Z24-Z39</f>
        <v>412380</v>
      </c>
      <c r="AA40" s="531">
        <f>AA24-AA39</f>
        <v>0</v>
      </c>
      <c r="AB40" s="289" t="e">
        <f>(AA40/O40)</f>
        <v>#DIV/0!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529"/>
      <c r="E41" s="528"/>
      <c r="F41" s="528"/>
      <c r="G41" s="527"/>
      <c r="H41" s="530"/>
      <c r="I41" s="525">
        <f>I40-D16</f>
        <v>-50302359.014999993</v>
      </c>
      <c r="J41" s="285"/>
      <c r="K41" s="284"/>
      <c r="L41" s="284"/>
      <c r="M41" s="283"/>
      <c r="N41" s="282"/>
      <c r="O41" s="281">
        <f>O40-J16</f>
        <v>-54300000</v>
      </c>
      <c r="P41" s="285"/>
      <c r="Q41" s="284"/>
      <c r="R41" s="284"/>
      <c r="S41" s="283"/>
      <c r="T41" s="282"/>
      <c r="U41" s="281">
        <f>U40-P16</f>
        <v>-27266789.960000001</v>
      </c>
      <c r="V41" s="529"/>
      <c r="W41" s="528"/>
      <c r="X41" s="528"/>
      <c r="Y41" s="527"/>
      <c r="Z41" s="526"/>
      <c r="AA41" s="525">
        <f>AA40-V16</f>
        <v>-52000000</v>
      </c>
      <c r="AB41" s="280">
        <f>(AA41/O41)</f>
        <v>0.9576427255985267</v>
      </c>
      <c r="AC41" s="4"/>
      <c r="AD41" s="4"/>
    </row>
    <row r="42" spans="1:30" ht="8.25" customHeight="1" thickBot="1" x14ac:dyDescent="0.3">
      <c r="A42" s="4"/>
      <c r="B42" s="272"/>
      <c r="C42" s="164"/>
      <c r="D42" s="524"/>
      <c r="E42" s="501"/>
      <c r="F42" s="501"/>
      <c r="G42" s="491"/>
      <c r="H42" s="501"/>
      <c r="I42" s="501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91"/>
      <c r="W42" s="491"/>
      <c r="X42" s="491"/>
      <c r="Y42" s="491"/>
      <c r="Z42" s="491"/>
      <c r="AA42" s="491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523" t="s">
        <v>41</v>
      </c>
      <c r="E43" s="522" t="s">
        <v>83</v>
      </c>
      <c r="F43" s="521" t="s">
        <v>36</v>
      </c>
      <c r="G43" s="501"/>
      <c r="H43" s="501"/>
      <c r="I43" s="500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523" t="s">
        <v>41</v>
      </c>
      <c r="W43" s="522" t="s">
        <v>83</v>
      </c>
      <c r="X43" s="521" t="s">
        <v>36</v>
      </c>
      <c r="Y43" s="491"/>
      <c r="Z43" s="491"/>
      <c r="AA43" s="491"/>
      <c r="AB43" s="4"/>
      <c r="AC43" s="4"/>
      <c r="AD43" s="4"/>
    </row>
    <row r="44" spans="1:30" ht="15.75" thickBot="1" x14ac:dyDescent="0.3">
      <c r="A44" s="4"/>
      <c r="B44" s="272"/>
      <c r="C44" s="276"/>
      <c r="D44" s="515"/>
      <c r="E44" s="520"/>
      <c r="F44" s="519">
        <v>0</v>
      </c>
      <c r="G44" s="501"/>
      <c r="H44" s="501"/>
      <c r="I44" s="500"/>
      <c r="J44" s="266"/>
      <c r="K44" s="275"/>
      <c r="L44" s="274">
        <v>0</v>
      </c>
      <c r="M44" s="273"/>
      <c r="N44" s="273"/>
      <c r="O44" s="273"/>
      <c r="P44" s="266"/>
      <c r="Q44" s="275"/>
      <c r="R44" s="274">
        <v>0</v>
      </c>
      <c r="S44" s="4"/>
      <c r="T44" s="4"/>
      <c r="U44" s="4"/>
      <c r="V44" s="515"/>
      <c r="W44" s="520"/>
      <c r="X44" s="519">
        <v>0</v>
      </c>
      <c r="Y44" s="491"/>
      <c r="Z44" s="491"/>
      <c r="AA44" s="491"/>
      <c r="AB44" s="4"/>
      <c r="AC44" s="4"/>
      <c r="AD44" s="4"/>
    </row>
    <row r="45" spans="1:30" ht="8.25" customHeight="1" thickBot="1" x14ac:dyDescent="0.3">
      <c r="A45" s="4"/>
      <c r="B45" s="272"/>
      <c r="C45" s="164"/>
      <c r="D45" s="518"/>
      <c r="E45" s="501"/>
      <c r="F45" s="501"/>
      <c r="G45" s="501"/>
      <c r="H45" s="501"/>
      <c r="I45" s="500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91"/>
      <c r="W45" s="491"/>
      <c r="X45" s="491"/>
      <c r="Y45" s="491"/>
      <c r="Z45" s="491"/>
      <c r="AA45" s="491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517" t="s">
        <v>86</v>
      </c>
      <c r="E46" s="516" t="s">
        <v>84</v>
      </c>
      <c r="F46" s="501"/>
      <c r="G46" s="501"/>
      <c r="H46" s="501"/>
      <c r="I46" s="500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4"/>
      <c r="T46" s="4"/>
      <c r="U46" s="4"/>
      <c r="V46" s="517" t="s">
        <v>86</v>
      </c>
      <c r="W46" s="516" t="s">
        <v>84</v>
      </c>
      <c r="X46" s="491"/>
      <c r="Y46" s="491"/>
      <c r="Z46" s="491"/>
      <c r="AA46" s="491"/>
      <c r="AB46" s="4"/>
      <c r="AC46" s="4"/>
      <c r="AD46" s="4"/>
    </row>
    <row r="47" spans="1:30" ht="15.75" thickBot="1" x14ac:dyDescent="0.3">
      <c r="A47" s="4"/>
      <c r="B47" s="257"/>
      <c r="C47" s="268"/>
      <c r="D47" s="515">
        <v>5000000</v>
      </c>
      <c r="E47" s="514">
        <v>0</v>
      </c>
      <c r="F47" s="501"/>
      <c r="G47" s="501"/>
      <c r="H47" s="501"/>
      <c r="I47" s="500"/>
      <c r="J47" s="266">
        <v>10000000</v>
      </c>
      <c r="K47" s="265">
        <v>0</v>
      </c>
      <c r="L47" s="267"/>
      <c r="M47" s="267"/>
      <c r="N47" s="4"/>
      <c r="O47" s="4"/>
      <c r="P47" s="266">
        <v>10000000</v>
      </c>
      <c r="Q47" s="265">
        <v>0</v>
      </c>
      <c r="R47" s="4"/>
      <c r="S47" s="4"/>
      <c r="T47" s="4"/>
      <c r="U47" s="4"/>
      <c r="V47" s="515">
        <v>0</v>
      </c>
      <c r="W47" s="514">
        <v>0</v>
      </c>
      <c r="X47" s="491"/>
      <c r="Y47" s="491"/>
      <c r="Z47" s="491"/>
      <c r="AA47" s="491"/>
      <c r="AB47" s="4"/>
      <c r="AC47" s="4"/>
      <c r="AD47" s="4"/>
    </row>
    <row r="48" spans="1:30" x14ac:dyDescent="0.25">
      <c r="A48" s="4"/>
      <c r="B48" s="257"/>
      <c r="C48" s="164"/>
      <c r="D48" s="501"/>
      <c r="E48" s="501"/>
      <c r="F48" s="501"/>
      <c r="G48" s="501"/>
      <c r="H48" s="501"/>
      <c r="I48" s="500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91"/>
      <c r="W48" s="491"/>
      <c r="X48" s="491"/>
      <c r="Y48" s="491"/>
      <c r="Z48" s="491"/>
      <c r="AA48" s="491"/>
      <c r="AB48" s="4"/>
      <c r="AC48" s="4"/>
      <c r="AD48" s="4"/>
    </row>
    <row r="49" spans="1:30" x14ac:dyDescent="0.25">
      <c r="A49" s="4"/>
      <c r="B49" s="257"/>
      <c r="C49" s="261" t="s">
        <v>81</v>
      </c>
      <c r="D49" s="505" t="s">
        <v>72</v>
      </c>
      <c r="E49" s="505" t="s">
        <v>73</v>
      </c>
      <c r="F49" s="505" t="s">
        <v>91</v>
      </c>
      <c r="G49" s="505" t="s">
        <v>93</v>
      </c>
      <c r="H49" s="501"/>
      <c r="I49" s="491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506" t="s">
        <v>72</v>
      </c>
      <c r="Q49" s="506" t="s">
        <v>73</v>
      </c>
      <c r="R49" s="506" t="s">
        <v>91</v>
      </c>
      <c r="S49" s="506" t="s">
        <v>94</v>
      </c>
      <c r="T49" s="4"/>
      <c r="U49" s="4"/>
      <c r="V49" s="505" t="s">
        <v>95</v>
      </c>
      <c r="W49" s="505" t="s">
        <v>73</v>
      </c>
      <c r="X49" s="505" t="s">
        <v>91</v>
      </c>
      <c r="Y49" s="505" t="s">
        <v>94</v>
      </c>
      <c r="Z49" s="491"/>
      <c r="AA49" s="491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509">
        <f>SUM(D51:D54)</f>
        <v>27502753.400000002</v>
      </c>
      <c r="E50" s="509">
        <f>SUM(E51:E54)</f>
        <v>15838150.9</v>
      </c>
      <c r="F50" s="509">
        <f>SUM(F51:F54)</f>
        <v>9874385.9299999997</v>
      </c>
      <c r="G50" s="508">
        <f>D50+E50-F50</f>
        <v>33466518.370000005</v>
      </c>
      <c r="H50" s="501"/>
      <c r="I50" s="491"/>
      <c r="J50" s="511">
        <f>SUM(J51:J54)</f>
        <v>35290000</v>
      </c>
      <c r="K50" s="511">
        <f>SUM(K51:K54)</f>
        <v>21180000</v>
      </c>
      <c r="L50" s="511">
        <f>SUM(L51:L54)</f>
        <v>45100000</v>
      </c>
      <c r="M50" s="511">
        <f>SUM(M51:M54)</f>
        <v>11370000</v>
      </c>
      <c r="N50" s="4"/>
      <c r="O50" s="4"/>
      <c r="P50" s="509">
        <f>SUM(P51:P54)</f>
        <v>33466518.339999996</v>
      </c>
      <c r="Q50" s="509">
        <f>SUM(Q51:Q54)</f>
        <v>6078152.0299999993</v>
      </c>
      <c r="R50" s="509">
        <f>SUM(R51:R54)</f>
        <v>5611227.75</v>
      </c>
      <c r="S50" s="509">
        <f>SUM(S51:S54)</f>
        <v>33933442.619999997</v>
      </c>
      <c r="T50" s="4"/>
      <c r="U50" s="4"/>
      <c r="V50" s="509">
        <f>SUM(V51:V54)</f>
        <v>43290000</v>
      </c>
      <c r="W50" s="509">
        <f>SUM(W51:W54)</f>
        <v>10931400</v>
      </c>
      <c r="X50" s="509">
        <f>SUM(X51:X54)</f>
        <v>32420000</v>
      </c>
      <c r="Y50" s="509">
        <f>SUM(Y51:Y54)</f>
        <v>21801400</v>
      </c>
      <c r="Z50" s="491"/>
      <c r="AA50" s="491"/>
      <c r="AB50" s="4"/>
      <c r="AC50" s="4"/>
      <c r="AD50" s="4"/>
    </row>
    <row r="51" spans="1:30" x14ac:dyDescent="0.25">
      <c r="A51" s="4"/>
      <c r="B51" s="257"/>
      <c r="C51" s="259" t="s">
        <v>70</v>
      </c>
      <c r="D51" s="509">
        <f>1218077.51+3397348.34</f>
        <v>4615425.8499999996</v>
      </c>
      <c r="E51" s="509">
        <f>363770.39+365604.49</f>
        <v>729374.88</v>
      </c>
      <c r="F51" s="509"/>
      <c r="G51" s="508">
        <f>D51+E51-F51</f>
        <v>5344800.7299999995</v>
      </c>
      <c r="H51" s="501"/>
      <c r="I51" s="491"/>
      <c r="J51" s="512">
        <v>7000000</v>
      </c>
      <c r="K51" s="512"/>
      <c r="L51" s="512">
        <v>1500000</v>
      </c>
      <c r="M51" s="511">
        <f>J51+K51-L51</f>
        <v>5500000</v>
      </c>
      <c r="N51" s="4"/>
      <c r="O51" s="4"/>
      <c r="P51" s="509">
        <v>5344800.7</v>
      </c>
      <c r="Q51" s="509">
        <v>1502826.96</v>
      </c>
      <c r="R51" s="509"/>
      <c r="S51" s="510">
        <v>6847627.6600000001</v>
      </c>
      <c r="T51" s="4"/>
      <c r="U51" s="4"/>
      <c r="V51" s="509">
        <v>7000000</v>
      </c>
      <c r="W51" s="509">
        <v>350000</v>
      </c>
      <c r="X51" s="509">
        <f>+X20</f>
        <v>2000000</v>
      </c>
      <c r="Y51" s="508">
        <f>V51+W51-X51</f>
        <v>5350000</v>
      </c>
      <c r="Z51" s="491"/>
      <c r="AA51" s="491"/>
      <c r="AB51" s="4"/>
      <c r="AC51" s="4"/>
      <c r="AD51" s="4"/>
    </row>
    <row r="52" spans="1:30" x14ac:dyDescent="0.25">
      <c r="A52" s="4"/>
      <c r="B52" s="257"/>
      <c r="C52" s="259" t="s">
        <v>71</v>
      </c>
      <c r="D52" s="509">
        <v>21672818.82</v>
      </c>
      <c r="E52" s="509">
        <v>14394575.6</v>
      </c>
      <c r="F52" s="509">
        <v>9297423.9299999997</v>
      </c>
      <c r="G52" s="508">
        <f>D52+E52-F52</f>
        <v>26769970.490000002</v>
      </c>
      <c r="H52" s="501"/>
      <c r="I52" s="491"/>
      <c r="J52" s="512">
        <v>27000000</v>
      </c>
      <c r="K52" s="512">
        <v>20500000</v>
      </c>
      <c r="L52" s="512">
        <v>43000000</v>
      </c>
      <c r="M52" s="511">
        <f>J52+K52-L52</f>
        <v>4500000</v>
      </c>
      <c r="N52" s="4"/>
      <c r="O52" s="4"/>
      <c r="P52" s="509">
        <v>26769970.489999998</v>
      </c>
      <c r="Q52" s="509">
        <v>4426228.68</v>
      </c>
      <c r="R52" s="509">
        <v>5401358.75</v>
      </c>
      <c r="S52" s="510">
        <v>25794840.419999998</v>
      </c>
      <c r="T52" s="4"/>
      <c r="U52" s="4"/>
      <c r="V52" s="513">
        <v>35000000</v>
      </c>
      <c r="W52" s="513">
        <f>+V47+AA37</f>
        <v>10200000</v>
      </c>
      <c r="X52" s="513">
        <v>30000000</v>
      </c>
      <c r="Y52" s="510">
        <f>V52+W52-X52</f>
        <v>15200000</v>
      </c>
      <c r="Z52" s="491"/>
      <c r="AA52" s="491"/>
      <c r="AB52" s="4"/>
      <c r="AC52" s="4"/>
      <c r="AD52" s="4"/>
    </row>
    <row r="53" spans="1:30" x14ac:dyDescent="0.25">
      <c r="A53" s="4"/>
      <c r="B53" s="257"/>
      <c r="C53" s="259" t="s">
        <v>88</v>
      </c>
      <c r="D53" s="509">
        <v>600000</v>
      </c>
      <c r="E53" s="509">
        <v>90000</v>
      </c>
      <c r="F53" s="509"/>
      <c r="G53" s="508">
        <f>D53+E53-F53</f>
        <v>690000</v>
      </c>
      <c r="H53" s="501"/>
      <c r="I53" s="491"/>
      <c r="J53" s="512">
        <v>690000</v>
      </c>
      <c r="K53" s="512"/>
      <c r="L53" s="512"/>
      <c r="M53" s="511">
        <f>J53+K53-L53</f>
        <v>690000</v>
      </c>
      <c r="N53" s="4"/>
      <c r="O53" s="4"/>
      <c r="P53" s="509">
        <v>690000</v>
      </c>
      <c r="Q53" s="509">
        <v>0</v>
      </c>
      <c r="R53" s="509">
        <v>0</v>
      </c>
      <c r="S53" s="510">
        <v>690000</v>
      </c>
      <c r="T53" s="4"/>
      <c r="U53" s="4"/>
      <c r="V53" s="509">
        <v>690000</v>
      </c>
      <c r="W53" s="509">
        <v>0</v>
      </c>
      <c r="X53" s="509">
        <v>0</v>
      </c>
      <c r="Y53" s="508">
        <f>V53+W53-X53</f>
        <v>690000</v>
      </c>
      <c r="Z53" s="491"/>
      <c r="AA53" s="491"/>
      <c r="AB53" s="4"/>
      <c r="AC53" s="4"/>
      <c r="AD53" s="4"/>
    </row>
    <row r="54" spans="1:30" x14ac:dyDescent="0.25">
      <c r="A54" s="4"/>
      <c r="B54" s="257"/>
      <c r="C54" s="264" t="s">
        <v>89</v>
      </c>
      <c r="D54" s="509">
        <v>614508.73</v>
      </c>
      <c r="E54" s="509">
        <v>624200.42000000004</v>
      </c>
      <c r="F54" s="509">
        <v>576962</v>
      </c>
      <c r="G54" s="508">
        <f>D54+E54-F54</f>
        <v>661747.14999999991</v>
      </c>
      <c r="H54" s="501"/>
      <c r="I54" s="491"/>
      <c r="J54" s="512">
        <v>600000</v>
      </c>
      <c r="K54" s="512">
        <v>680000</v>
      </c>
      <c r="L54" s="512">
        <v>600000</v>
      </c>
      <c r="M54" s="511">
        <f>J54+K54-L54</f>
        <v>680000</v>
      </c>
      <c r="N54" s="4"/>
      <c r="O54" s="4"/>
      <c r="P54" s="509">
        <v>661747.15</v>
      </c>
      <c r="Q54" s="509">
        <v>149096.39000000001</v>
      </c>
      <c r="R54" s="509">
        <v>209869</v>
      </c>
      <c r="S54" s="510">
        <v>600974.54</v>
      </c>
      <c r="T54" s="4"/>
      <c r="U54" s="4"/>
      <c r="V54" s="509">
        <v>600000</v>
      </c>
      <c r="W54" s="509">
        <f>+AA33*0.01</f>
        <v>381400</v>
      </c>
      <c r="X54" s="509">
        <v>420000</v>
      </c>
      <c r="Y54" s="508">
        <f>V54+W54-X54</f>
        <v>561400</v>
      </c>
      <c r="Z54" s="491"/>
      <c r="AA54" s="491"/>
      <c r="AB54" s="4"/>
      <c r="AC54" s="4"/>
      <c r="AD54" s="4"/>
    </row>
    <row r="55" spans="1:30" ht="10.5" customHeight="1" x14ac:dyDescent="0.25">
      <c r="A55" s="4"/>
      <c r="B55" s="257"/>
      <c r="C55" s="164"/>
      <c r="D55" s="501"/>
      <c r="E55" s="501"/>
      <c r="F55" s="501"/>
      <c r="G55" s="501"/>
      <c r="H55" s="501"/>
      <c r="I55" s="491"/>
      <c r="J55" s="507"/>
      <c r="K55" s="507"/>
      <c r="L55" s="507"/>
      <c r="M55" s="507"/>
      <c r="N55" s="4"/>
      <c r="O55" s="4"/>
      <c r="P55" s="4"/>
      <c r="Q55" s="4"/>
      <c r="R55" s="4"/>
      <c r="S55" s="4"/>
      <c r="T55" s="4"/>
      <c r="U55" s="4"/>
      <c r="V55" s="491"/>
      <c r="W55" s="491"/>
      <c r="X55" s="491"/>
      <c r="Y55" s="491"/>
      <c r="Z55" s="491"/>
      <c r="AA55" s="491"/>
      <c r="AB55" s="4"/>
      <c r="AC55" s="4"/>
      <c r="AD55" s="4"/>
    </row>
    <row r="56" spans="1:30" x14ac:dyDescent="0.25">
      <c r="A56" s="4"/>
      <c r="B56" s="257"/>
      <c r="C56" s="261" t="s">
        <v>74</v>
      </c>
      <c r="D56" s="505" t="s">
        <v>75</v>
      </c>
      <c r="E56" s="505" t="s">
        <v>96</v>
      </c>
      <c r="F56" s="501"/>
      <c r="G56" s="501"/>
      <c r="H56" s="501"/>
      <c r="I56" s="500"/>
      <c r="J56" s="506" t="s">
        <v>97</v>
      </c>
      <c r="K56" s="503"/>
      <c r="L56" s="503"/>
      <c r="M56" s="503"/>
      <c r="N56" s="256"/>
      <c r="O56" s="255"/>
      <c r="P56" s="260" t="s">
        <v>98</v>
      </c>
      <c r="Q56" s="255"/>
      <c r="R56" s="255"/>
      <c r="S56" s="255"/>
      <c r="T56" s="255"/>
      <c r="U56" s="255"/>
      <c r="V56" s="505" t="s">
        <v>97</v>
      </c>
      <c r="W56" s="491"/>
      <c r="X56" s="491"/>
      <c r="Y56" s="491"/>
      <c r="Z56" s="491"/>
      <c r="AA56" s="491"/>
      <c r="AB56" s="4"/>
      <c r="AC56" s="4"/>
      <c r="AD56" s="4"/>
    </row>
    <row r="57" spans="1:30" x14ac:dyDescent="0.25">
      <c r="A57" s="4"/>
      <c r="B57" s="257"/>
      <c r="C57" s="259"/>
      <c r="D57" s="502">
        <v>73</v>
      </c>
      <c r="E57" s="502">
        <v>79</v>
      </c>
      <c r="F57" s="501"/>
      <c r="G57" s="501"/>
      <c r="H57" s="501"/>
      <c r="I57" s="500"/>
      <c r="J57" s="504">
        <v>87</v>
      </c>
      <c r="K57" s="503"/>
      <c r="L57" s="503"/>
      <c r="M57" s="503"/>
      <c r="N57" s="256"/>
      <c r="O57" s="255"/>
      <c r="P57" s="258">
        <v>80</v>
      </c>
      <c r="Q57" s="255"/>
      <c r="R57" s="255"/>
      <c r="S57" s="255"/>
      <c r="T57" s="255"/>
      <c r="U57" s="255"/>
      <c r="V57" s="502">
        <v>93</v>
      </c>
      <c r="W57" s="491"/>
      <c r="X57" s="491"/>
      <c r="Y57" s="491"/>
      <c r="Z57" s="491"/>
      <c r="AA57" s="491"/>
      <c r="AB57" s="4"/>
      <c r="AC57" s="4"/>
      <c r="AD57" s="4"/>
    </row>
    <row r="58" spans="1:30" x14ac:dyDescent="0.25">
      <c r="A58" s="4"/>
      <c r="B58" s="257"/>
      <c r="C58" s="164"/>
      <c r="D58" s="501"/>
      <c r="E58" s="501"/>
      <c r="F58" s="501"/>
      <c r="G58" s="501"/>
      <c r="H58" s="501"/>
      <c r="I58" s="500"/>
      <c r="J58" s="256"/>
      <c r="K58" s="256"/>
      <c r="L58" s="256"/>
      <c r="M58" s="256"/>
      <c r="N58" s="256"/>
      <c r="O58" s="255"/>
      <c r="P58" s="255"/>
      <c r="Q58" s="255"/>
      <c r="R58" s="255"/>
      <c r="S58" s="255"/>
      <c r="T58" s="255"/>
      <c r="U58" s="255"/>
      <c r="V58" s="491"/>
      <c r="W58" s="491"/>
      <c r="X58" s="491"/>
      <c r="Y58" s="491"/>
      <c r="Z58" s="491"/>
      <c r="AA58" s="491"/>
      <c r="AB58" s="4"/>
      <c r="AC58" s="4"/>
      <c r="AD58" s="4"/>
    </row>
    <row r="59" spans="1:30" x14ac:dyDescent="0.25">
      <c r="A59" s="4"/>
      <c r="B59" s="254" t="s">
        <v>92</v>
      </c>
      <c r="C59" s="253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499"/>
      <c r="W59" s="499"/>
      <c r="X59" s="499"/>
      <c r="Y59" s="499"/>
      <c r="Z59" s="499"/>
      <c r="AA59" s="499"/>
      <c r="AB59" s="250"/>
      <c r="AC59" s="4"/>
      <c r="AD59" s="4"/>
    </row>
    <row r="60" spans="1:30" x14ac:dyDescent="0.25">
      <c r="A60" s="4"/>
      <c r="B60" s="498" t="s">
        <v>57</v>
      </c>
      <c r="D60"/>
      <c r="E60"/>
      <c r="F60"/>
      <c r="G60"/>
      <c r="H60"/>
      <c r="I60"/>
      <c r="M60"/>
      <c r="AB60" s="240"/>
      <c r="AC60" s="4"/>
      <c r="AD60" s="4"/>
    </row>
    <row r="61" spans="1:30" x14ac:dyDescent="0.25">
      <c r="A61" s="4"/>
      <c r="B61" s="497" t="s">
        <v>175</v>
      </c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496"/>
      <c r="AB61" s="240"/>
      <c r="AC61" s="4"/>
      <c r="AD61" s="4"/>
    </row>
    <row r="62" spans="1:30" x14ac:dyDescent="0.25">
      <c r="A62" s="4"/>
      <c r="B62" s="248" t="s">
        <v>174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AB62" s="240"/>
      <c r="AC62" s="4"/>
      <c r="AD62" s="4"/>
    </row>
    <row r="63" spans="1:30" x14ac:dyDescent="0.25">
      <c r="A63" s="4"/>
      <c r="B63" s="497" t="s">
        <v>173</v>
      </c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6"/>
      <c r="AB63" s="240"/>
      <c r="AC63" s="4"/>
      <c r="AD63" s="4"/>
    </row>
    <row r="64" spans="1:30" x14ac:dyDescent="0.25">
      <c r="A64" s="4"/>
      <c r="B64" s="482" t="s">
        <v>172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AB64" s="240"/>
      <c r="AC64" s="4"/>
      <c r="AD64" s="4"/>
    </row>
    <row r="65" spans="1:30" x14ac:dyDescent="0.25">
      <c r="A65" s="4"/>
      <c r="B65" s="482" t="s">
        <v>171</v>
      </c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AB65" s="240"/>
      <c r="AC65" s="4"/>
      <c r="AD65" s="4"/>
    </row>
    <row r="66" spans="1:30" x14ac:dyDescent="0.25">
      <c r="A66" s="4"/>
      <c r="B66" s="246" t="s">
        <v>170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AB66" s="240"/>
      <c r="AC66" s="4"/>
      <c r="AD66" s="4"/>
    </row>
    <row r="67" spans="1:30" x14ac:dyDescent="0.25">
      <c r="A67" s="4"/>
      <c r="B67" s="246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 t="s">
        <v>169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482" t="s">
        <v>168</v>
      </c>
      <c r="C70" s="483"/>
      <c r="D70" s="483"/>
      <c r="E70" s="483"/>
      <c r="F70" s="483"/>
      <c r="G70" s="483"/>
      <c r="H70" s="483"/>
      <c r="I70" s="483"/>
      <c r="J70" s="48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482" t="s">
        <v>167</v>
      </c>
      <c r="C71" s="483"/>
      <c r="D71" s="483"/>
      <c r="E71" s="483"/>
      <c r="F71" s="483"/>
      <c r="G71" s="483"/>
      <c r="H71" s="483"/>
      <c r="I71" s="483"/>
      <c r="J71" s="483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482" t="s">
        <v>166</v>
      </c>
      <c r="C72" s="483"/>
      <c r="D72" s="483"/>
      <c r="E72" s="483"/>
      <c r="F72" s="483"/>
      <c r="G72" s="483"/>
      <c r="H72" s="483"/>
      <c r="I72" s="483"/>
      <c r="J72" s="48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482" t="s">
        <v>165</v>
      </c>
      <c r="C73" s="483"/>
      <c r="D73" s="483"/>
      <c r="E73" s="483"/>
      <c r="F73" s="483"/>
      <c r="G73" s="483"/>
      <c r="H73" s="483"/>
      <c r="I73" s="483"/>
      <c r="J73" s="48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482" t="s">
        <v>164</v>
      </c>
      <c r="C74" s="483"/>
      <c r="D74" s="483"/>
      <c r="E74" s="483"/>
      <c r="F74" s="483"/>
      <c r="G74" s="483"/>
      <c r="H74" s="483"/>
      <c r="I74" s="483"/>
      <c r="J74" s="48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246" t="s">
        <v>87</v>
      </c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hidden="1" x14ac:dyDescent="0.25">
      <c r="A76" s="4"/>
      <c r="B76" s="246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B76" s="240"/>
      <c r="AC76" s="4"/>
      <c r="AD76" s="4"/>
    </row>
    <row r="77" spans="1:30" hidden="1" x14ac:dyDescent="0.25">
      <c r="A77" s="4"/>
      <c r="B77" s="246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B77" s="240"/>
      <c r="AC77" s="4"/>
      <c r="AD77" s="4"/>
    </row>
    <row r="78" spans="1:30" x14ac:dyDescent="0.25">
      <c r="A78" s="4"/>
      <c r="B78" s="482"/>
      <c r="C78" s="483"/>
      <c r="D78" s="483"/>
      <c r="E78" s="483"/>
      <c r="F78" s="483"/>
      <c r="G78" s="483"/>
      <c r="H78" s="483"/>
      <c r="I78" s="483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B78" s="240"/>
      <c r="AC78" s="4"/>
      <c r="AD78" s="4"/>
    </row>
    <row r="79" spans="1:30" x14ac:dyDescent="0.25">
      <c r="A79" s="4"/>
      <c r="B79" s="241" t="s">
        <v>163</v>
      </c>
      <c r="C79" s="483"/>
      <c r="D79" s="483"/>
      <c r="E79" s="483"/>
      <c r="F79" s="483"/>
      <c r="G79" s="483"/>
      <c r="H79" s="483"/>
      <c r="I79" s="483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B79" s="240"/>
      <c r="AC79" s="4"/>
      <c r="AD79" s="4"/>
    </row>
    <row r="80" spans="1:30" x14ac:dyDescent="0.25">
      <c r="A80" s="4"/>
      <c r="B80" s="246" t="s">
        <v>162</v>
      </c>
      <c r="C80" s="241"/>
      <c r="D80" s="483"/>
      <c r="E80" s="483"/>
      <c r="F80" s="483"/>
      <c r="G80" s="483"/>
      <c r="H80" s="483"/>
      <c r="I80" s="483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B80" s="240"/>
      <c r="AC80" s="4"/>
      <c r="AD80" s="4"/>
    </row>
    <row r="81" spans="1:30" x14ac:dyDescent="0.25">
      <c r="A81" s="4"/>
      <c r="B81" s="246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B81" s="240"/>
      <c r="AC81" s="4"/>
      <c r="AD81" s="4"/>
    </row>
    <row r="82" spans="1:30" hidden="1" x14ac:dyDescent="0.25">
      <c r="A82" s="4"/>
      <c r="B82" s="246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AB82" s="240"/>
      <c r="AC82" s="4"/>
      <c r="AD82" s="4"/>
    </row>
    <row r="83" spans="1:30" hidden="1" x14ac:dyDescent="0.25">
      <c r="A83" s="4"/>
      <c r="B83" s="248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AB83" s="240"/>
      <c r="AC83" s="4"/>
      <c r="AD83" s="4"/>
    </row>
    <row r="84" spans="1:30" hidden="1" x14ac:dyDescent="0.25">
      <c r="A84" s="4"/>
      <c r="B84" s="482"/>
      <c r="C84" s="483"/>
      <c r="D84"/>
      <c r="E84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AB84" s="240"/>
      <c r="AC84" s="4"/>
      <c r="AD84" s="4"/>
    </row>
    <row r="85" spans="1:30" hidden="1" x14ac:dyDescent="0.25">
      <c r="A85" s="4"/>
      <c r="B85" s="482"/>
      <c r="C85" s="483"/>
      <c r="D85" s="242"/>
      <c r="E85" s="242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AB85" s="240"/>
      <c r="AC85" s="4"/>
      <c r="AD85" s="4"/>
    </row>
    <row r="86" spans="1:30" hidden="1" x14ac:dyDescent="0.25">
      <c r="A86" s="4"/>
      <c r="B86" s="482"/>
      <c r="C86" s="483"/>
      <c r="D86" s="242"/>
      <c r="E86" s="242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AB86" s="240"/>
      <c r="AC86" s="4"/>
      <c r="AD86" s="4"/>
    </row>
    <row r="87" spans="1:30" hidden="1" x14ac:dyDescent="0.25">
      <c r="A87" s="4"/>
      <c r="B87" s="246"/>
      <c r="C87" s="241"/>
      <c r="D87" s="242"/>
      <c r="E87" s="242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495"/>
      <c r="W87" s="495"/>
      <c r="X87" s="495"/>
      <c r="Y87" s="495"/>
      <c r="Z87" s="495"/>
      <c r="AA87" s="495"/>
      <c r="AB87" s="234"/>
      <c r="AC87" s="4"/>
      <c r="AD87" s="4"/>
    </row>
    <row r="88" spans="1:30" hidden="1" x14ac:dyDescent="0.25">
      <c r="A88" s="4"/>
      <c r="B88" s="246"/>
      <c r="D88" s="242"/>
      <c r="E88" s="242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491"/>
      <c r="W88" s="491"/>
      <c r="X88" s="491"/>
      <c r="Y88" s="491"/>
      <c r="Z88" s="491"/>
      <c r="AA88" s="491"/>
      <c r="AB88" s="4"/>
      <c r="AC88" s="4"/>
      <c r="AD88" s="4"/>
    </row>
    <row r="89" spans="1:30" hidden="1" x14ac:dyDescent="0.25">
      <c r="A89" s="4"/>
      <c r="B89" s="246"/>
      <c r="C89" s="241"/>
      <c r="D89" s="242"/>
      <c r="E89" s="242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491"/>
      <c r="W89" s="491"/>
      <c r="X89" s="491"/>
      <c r="Y89" s="491"/>
      <c r="Z89" s="491"/>
      <c r="AA89" s="491"/>
      <c r="AB89" s="4"/>
      <c r="AC89" s="4"/>
      <c r="AD89" s="4"/>
    </row>
    <row r="90" spans="1:30" x14ac:dyDescent="0.25">
      <c r="A90" s="4"/>
      <c r="B90" s="246"/>
      <c r="C90" s="241"/>
      <c r="D90" s="242"/>
      <c r="E90" s="242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491"/>
      <c r="W90" s="491"/>
      <c r="X90" s="491"/>
      <c r="Y90" s="491"/>
      <c r="Z90" s="491"/>
      <c r="AA90" s="491"/>
      <c r="AB90" s="4"/>
      <c r="AC90" s="4"/>
      <c r="AD90" s="4"/>
    </row>
    <row r="91" spans="1:30" x14ac:dyDescent="0.25">
      <c r="A91" s="4"/>
      <c r="B91" s="225" t="s">
        <v>80</v>
      </c>
      <c r="C91" s="230">
        <v>45574</v>
      </c>
      <c r="D91" s="492" t="s">
        <v>76</v>
      </c>
      <c r="E91" s="494" t="s">
        <v>161</v>
      </c>
      <c r="F91" s="494"/>
      <c r="G91" s="494"/>
      <c r="H91" s="492"/>
      <c r="I91" s="492" t="s">
        <v>77</v>
      </c>
      <c r="J91" s="228" t="s">
        <v>160</v>
      </c>
      <c r="K91" s="228"/>
      <c r="L91" s="228"/>
      <c r="M91" s="228"/>
      <c r="N91" s="225"/>
      <c r="O91" s="225"/>
      <c r="P91" s="225"/>
      <c r="Q91" s="225"/>
      <c r="R91" s="225"/>
      <c r="S91" s="225"/>
      <c r="T91" s="225"/>
      <c r="U91" s="225"/>
      <c r="V91" s="491"/>
      <c r="W91" s="491"/>
      <c r="X91" s="491"/>
      <c r="Y91" s="491"/>
      <c r="Z91" s="491"/>
      <c r="AA91" s="491"/>
      <c r="AB91" s="4"/>
      <c r="AC91" s="4"/>
      <c r="AD91" s="4"/>
    </row>
    <row r="92" spans="1:30" ht="7.5" customHeight="1" x14ac:dyDescent="0.25">
      <c r="A92" s="4"/>
      <c r="B92" s="225"/>
      <c r="C92" s="225"/>
      <c r="D92" s="492"/>
      <c r="E92" s="492"/>
      <c r="F92" s="492"/>
      <c r="G92" s="492"/>
      <c r="H92" s="492"/>
      <c r="I92" s="492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491"/>
      <c r="W92" s="491"/>
      <c r="X92" s="491"/>
      <c r="Y92" s="491"/>
      <c r="Z92" s="491"/>
      <c r="AA92" s="491"/>
      <c r="AB92" s="4"/>
      <c r="AC92" s="4"/>
      <c r="AD92" s="4"/>
    </row>
    <row r="93" spans="1:30" x14ac:dyDescent="0.25">
      <c r="A93" s="4"/>
      <c r="B93" s="225"/>
      <c r="C93" s="225"/>
      <c r="D93" s="492" t="s">
        <v>79</v>
      </c>
      <c r="E93" s="493"/>
      <c r="F93" s="493"/>
      <c r="G93" s="493"/>
      <c r="H93" s="492"/>
      <c r="I93" s="492" t="s">
        <v>79</v>
      </c>
      <c r="J93" s="226"/>
      <c r="K93" s="226"/>
      <c r="L93" s="226"/>
      <c r="M93" s="226"/>
      <c r="N93" s="225"/>
      <c r="O93" s="225"/>
      <c r="P93" s="225"/>
      <c r="Q93" s="225"/>
      <c r="R93" s="225"/>
      <c r="S93" s="225"/>
      <c r="T93" s="225"/>
      <c r="U93" s="225"/>
      <c r="V93" s="491"/>
      <c r="W93" s="491"/>
      <c r="X93" s="491"/>
      <c r="Y93" s="491"/>
      <c r="Z93" s="491"/>
      <c r="AA93" s="491"/>
      <c r="AB93" s="4"/>
      <c r="AC93" s="4"/>
      <c r="AD93" s="4"/>
    </row>
    <row r="94" spans="1:30" x14ac:dyDescent="0.25">
      <c r="A94" s="4"/>
      <c r="B94" s="225"/>
      <c r="C94" s="225"/>
      <c r="D94" s="492"/>
      <c r="E94" s="493"/>
      <c r="F94" s="493"/>
      <c r="G94" s="493"/>
      <c r="H94" s="492"/>
      <c r="I94" s="492"/>
      <c r="J94" s="226"/>
      <c r="K94" s="226"/>
      <c r="L94" s="226"/>
      <c r="M94" s="226"/>
      <c r="N94" s="225"/>
      <c r="O94" s="225"/>
      <c r="P94" s="225"/>
      <c r="Q94" s="225"/>
      <c r="R94" s="225"/>
      <c r="S94" s="225"/>
      <c r="T94" s="225"/>
      <c r="U94" s="225"/>
      <c r="V94" s="491"/>
      <c r="W94" s="491"/>
      <c r="X94" s="491"/>
      <c r="Y94" s="491"/>
      <c r="Z94" s="491"/>
      <c r="AA94" s="491"/>
      <c r="AB94" s="4"/>
      <c r="AC94" s="4"/>
      <c r="AD94" s="4"/>
    </row>
    <row r="95" spans="1:30" x14ac:dyDescent="0.25">
      <c r="A95" s="4"/>
      <c r="B95" s="225"/>
      <c r="C95" s="225"/>
      <c r="D95" s="492"/>
      <c r="E95" s="492"/>
      <c r="F95" s="492"/>
      <c r="G95" s="492"/>
      <c r="H95" s="492"/>
      <c r="I95" s="492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491"/>
      <c r="W95" s="491"/>
      <c r="X95" s="491"/>
      <c r="Y95" s="491"/>
      <c r="Z95" s="491"/>
      <c r="AA95" s="491"/>
      <c r="AB95" s="4"/>
      <c r="AC95" s="4"/>
      <c r="AD95" s="4"/>
    </row>
    <row r="96" spans="1:30" x14ac:dyDescent="0.25">
      <c r="A96" s="4"/>
      <c r="B96" s="225"/>
      <c r="C96" s="225"/>
      <c r="D96" s="492"/>
      <c r="E96" s="492"/>
      <c r="F96" s="492"/>
      <c r="G96" s="492"/>
      <c r="H96" s="492"/>
      <c r="I96" s="492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491"/>
      <c r="W96" s="491"/>
      <c r="X96" s="491"/>
      <c r="Y96" s="491"/>
      <c r="Z96" s="491"/>
      <c r="AA96" s="491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AA13:AA14"/>
    <mergeCell ref="Y26:Y27"/>
    <mergeCell ref="Z26:Z27"/>
    <mergeCell ref="V10:AA10"/>
    <mergeCell ref="V25:AA25"/>
    <mergeCell ref="Y13:Y14"/>
    <mergeCell ref="Z13:Z14"/>
    <mergeCell ref="M13:M14"/>
    <mergeCell ref="N13:N14"/>
    <mergeCell ref="I13:I14"/>
    <mergeCell ref="AB25:AB27"/>
    <mergeCell ref="V26:X26"/>
    <mergeCell ref="AA26:AA27"/>
    <mergeCell ref="AB10:AB14"/>
    <mergeCell ref="V11:Y11"/>
    <mergeCell ref="V12:AA12"/>
    <mergeCell ref="V13:X13"/>
    <mergeCell ref="S13:S14"/>
    <mergeCell ref="T13:T14"/>
    <mergeCell ref="P25:U25"/>
    <mergeCell ref="P26:R26"/>
    <mergeCell ref="S26:S27"/>
    <mergeCell ref="T26:T27"/>
    <mergeCell ref="U26:U27"/>
    <mergeCell ref="P13:R13"/>
    <mergeCell ref="U13:U14"/>
    <mergeCell ref="J13:L13"/>
    <mergeCell ref="E91:G91"/>
    <mergeCell ref="J91:M91"/>
    <mergeCell ref="B63:U63"/>
    <mergeCell ref="C43:C44"/>
    <mergeCell ref="C46:C47"/>
    <mergeCell ref="B83:U83"/>
    <mergeCell ref="B62:U62"/>
    <mergeCell ref="D59:U59"/>
    <mergeCell ref="B61:U61"/>
    <mergeCell ref="C26:C27"/>
    <mergeCell ref="C10:C13"/>
    <mergeCell ref="D13:F13"/>
    <mergeCell ref="H26:H27"/>
    <mergeCell ref="D25:I25"/>
    <mergeCell ref="B10:B13"/>
    <mergeCell ref="I26:I27"/>
    <mergeCell ref="D26:F26"/>
    <mergeCell ref="G26:G27"/>
    <mergeCell ref="P11:S1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D4:V4"/>
    <mergeCell ref="D8:V8"/>
    <mergeCell ref="J10:O10"/>
    <mergeCell ref="J11:M11"/>
    <mergeCell ref="J12:O12"/>
    <mergeCell ref="P12:U12"/>
    <mergeCell ref="D12:I12"/>
    <mergeCell ref="D10:I10"/>
    <mergeCell ref="D11:G11"/>
    <mergeCell ref="P10:U10"/>
  </mergeCells>
  <conditionalFormatting sqref="AB15:AB25">
    <cfRule type="cellIs" dxfId="65" priority="3" operator="equal">
      <formula>0</formula>
    </cfRule>
    <cfRule type="containsErrors" dxfId="64" priority="4">
      <formula>ISERROR(AB15)</formula>
    </cfRule>
  </conditionalFormatting>
  <conditionalFormatting sqref="AB28:AB41">
    <cfRule type="cellIs" dxfId="63" priority="1" operator="equal">
      <formula>0</formula>
    </cfRule>
    <cfRule type="containsErrors" dxfId="62" priority="2">
      <formula>ISERROR(AB28)</formula>
    </cfRule>
  </conditionalFormatting>
  <pageMargins left="0.25" right="0.25" top="0.75" bottom="0.75" header="0.3" footer="0.3"/>
  <pageSetup paperSize="8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D276"/>
  <sheetViews>
    <sheetView showGridLines="0" zoomScale="80" zoomScaleNormal="80" zoomScaleSheetLayoutView="80" workbookViewId="0">
      <selection activeCell="C92" sqref="C9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185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72744260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184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176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10356.6</v>
      </c>
      <c r="G15" s="63">
        <f>SUM(D15:F15)</f>
        <v>10356.6</v>
      </c>
      <c r="H15" s="66">
        <v>0</v>
      </c>
      <c r="I15" s="14">
        <f>G15+H15</f>
        <v>10356.6</v>
      </c>
      <c r="J15" s="12"/>
      <c r="K15" s="13"/>
      <c r="L15" s="56">
        <v>11528.1</v>
      </c>
      <c r="M15" s="63">
        <f>SUM(J15:L15)</f>
        <v>11528.1</v>
      </c>
      <c r="N15" s="66">
        <v>0</v>
      </c>
      <c r="O15" s="621">
        <f>M15+N15</f>
        <v>11528.1</v>
      </c>
      <c r="P15" s="12"/>
      <c r="Q15" s="13"/>
      <c r="R15" s="646">
        <v>5625</v>
      </c>
      <c r="S15" s="63">
        <f>SUM(P15:R15)</f>
        <v>5625</v>
      </c>
      <c r="T15" s="66">
        <v>0</v>
      </c>
      <c r="U15" s="14">
        <f>S15+T15</f>
        <v>5625</v>
      </c>
      <c r="V15" s="12"/>
      <c r="W15" s="13"/>
      <c r="X15" s="56">
        <v>11374</v>
      </c>
      <c r="Y15" s="63">
        <f>SUM(V15:X15)</f>
        <v>11374</v>
      </c>
      <c r="Z15" s="66">
        <v>0</v>
      </c>
      <c r="AA15" s="14">
        <f>Y15+Z15</f>
        <v>11374</v>
      </c>
      <c r="AB15" s="620">
        <f>IFERROR(AA15/O15,0)</f>
        <v>0.98663266279785911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15591.6</v>
      </c>
      <c r="E16" s="16"/>
      <c r="F16" s="16"/>
      <c r="G16" s="64">
        <f>SUM(D16:F16)</f>
        <v>15591.6</v>
      </c>
      <c r="H16" s="67"/>
      <c r="I16" s="14">
        <f>G16+H16</f>
        <v>15591.6</v>
      </c>
      <c r="J16" s="57">
        <v>14974</v>
      </c>
      <c r="K16" s="16"/>
      <c r="L16" s="16"/>
      <c r="M16" s="64">
        <f>SUM(J16:L16)</f>
        <v>14974</v>
      </c>
      <c r="N16" s="67"/>
      <c r="O16" s="621">
        <f>M16+N16</f>
        <v>14974</v>
      </c>
      <c r="P16" s="57">
        <v>7487.2</v>
      </c>
      <c r="Q16" s="645"/>
      <c r="R16" s="16"/>
      <c r="S16" s="64">
        <f>SUM(P16:R16)</f>
        <v>7487.2</v>
      </c>
      <c r="T16" s="67"/>
      <c r="U16" s="14">
        <f>S16+T16</f>
        <v>7487.2</v>
      </c>
      <c r="V16" s="57">
        <v>14834</v>
      </c>
      <c r="W16" s="16"/>
      <c r="X16" s="16"/>
      <c r="Y16" s="64">
        <f>SUM(V16:X16)</f>
        <v>14834</v>
      </c>
      <c r="Z16" s="67"/>
      <c r="AA16" s="14">
        <f>Y16+Z16</f>
        <v>14834</v>
      </c>
      <c r="AB16" s="620">
        <f>IFERROR(AA16/O16,0)</f>
        <v>0.99065046079871777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321.7</v>
      </c>
      <c r="E17" s="17"/>
      <c r="F17" s="17"/>
      <c r="G17" s="64">
        <f>SUM(D17:F17)</f>
        <v>321.7</v>
      </c>
      <c r="H17" s="68"/>
      <c r="I17" s="14">
        <f>G17+H17</f>
        <v>321.7</v>
      </c>
      <c r="J17" s="58">
        <v>240</v>
      </c>
      <c r="K17" s="17"/>
      <c r="L17" s="17"/>
      <c r="M17" s="64">
        <f>SUM(J17:L17)</f>
        <v>240</v>
      </c>
      <c r="N17" s="68"/>
      <c r="O17" s="621">
        <f>M17+N17</f>
        <v>240</v>
      </c>
      <c r="P17" s="58">
        <v>65</v>
      </c>
      <c r="Q17" s="17"/>
      <c r="R17" s="17"/>
      <c r="S17" s="64">
        <f>SUM(P17:R17)</f>
        <v>65</v>
      </c>
      <c r="T17" s="68"/>
      <c r="U17" s="14">
        <f>S17+T17</f>
        <v>65</v>
      </c>
      <c r="V17" s="58">
        <v>145.5</v>
      </c>
      <c r="W17" s="17"/>
      <c r="X17" s="17"/>
      <c r="Y17" s="64">
        <f>SUM(V17:X17)</f>
        <v>145.5</v>
      </c>
      <c r="Z17" s="68"/>
      <c r="AA17" s="14">
        <f>Y17+Z17</f>
        <v>145.5</v>
      </c>
      <c r="AB17" s="620">
        <f>IFERROR(AA17/O17,0)</f>
        <v>0.60624999999999996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122096.8</v>
      </c>
      <c r="F18" s="17"/>
      <c r="G18" s="64">
        <f>SUM(D18:F18)</f>
        <v>122096.8</v>
      </c>
      <c r="H18" s="66">
        <v>0</v>
      </c>
      <c r="I18" s="14">
        <f>G18+H18</f>
        <v>122096.8</v>
      </c>
      <c r="J18" s="18"/>
      <c r="K18" s="59">
        <v>121751</v>
      </c>
      <c r="L18" s="17"/>
      <c r="M18" s="64">
        <f>SUM(J18:L18)</f>
        <v>121751</v>
      </c>
      <c r="N18" s="66">
        <v>0</v>
      </c>
      <c r="O18" s="621">
        <f>M18+N18</f>
        <v>121751</v>
      </c>
      <c r="P18" s="18"/>
      <c r="Q18" s="59">
        <v>63292.7</v>
      </c>
      <c r="R18" s="17"/>
      <c r="S18" s="64">
        <f>SUM(P18:R18)</f>
        <v>63292.7</v>
      </c>
      <c r="T18" s="66">
        <v>0</v>
      </c>
      <c r="U18" s="14">
        <f>S18+T18</f>
        <v>63292.7</v>
      </c>
      <c r="V18" s="18"/>
      <c r="W18" s="59">
        <v>131671</v>
      </c>
      <c r="X18" s="17"/>
      <c r="Y18" s="64">
        <f>SUM(V18:X18)</f>
        <v>131671</v>
      </c>
      <c r="Z18" s="66">
        <v>0</v>
      </c>
      <c r="AA18" s="14">
        <f>Y18+Z18</f>
        <v>131671</v>
      </c>
      <c r="AB18" s="620">
        <f>IFERROR(AA18/O18,0)</f>
        <v>1.0814777702031195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283.10000000000002</v>
      </c>
      <c r="G19" s="64">
        <f>SUM(D19:F19)</f>
        <v>283.10000000000002</v>
      </c>
      <c r="H19" s="69">
        <v>0</v>
      </c>
      <c r="I19" s="14">
        <f>G19+H19</f>
        <v>283.10000000000002</v>
      </c>
      <c r="J19" s="19"/>
      <c r="K19" s="17"/>
      <c r="L19" s="60">
        <v>16.2</v>
      </c>
      <c r="M19" s="64">
        <f>SUM(J19:L19)</f>
        <v>16.2</v>
      </c>
      <c r="N19" s="69">
        <v>0</v>
      </c>
      <c r="O19" s="621">
        <f>M19+N19</f>
        <v>16.2</v>
      </c>
      <c r="P19" s="19"/>
      <c r="Q19" s="17"/>
      <c r="R19" s="60">
        <v>16.399999999999999</v>
      </c>
      <c r="S19" s="64">
        <f>SUM(P19:R19)</f>
        <v>16.399999999999999</v>
      </c>
      <c r="T19" s="69">
        <v>0</v>
      </c>
      <c r="U19" s="14">
        <f>S19+T19</f>
        <v>16.399999999999999</v>
      </c>
      <c r="V19" s="19"/>
      <c r="W19" s="17"/>
      <c r="X19" s="60">
        <v>66.099999999999994</v>
      </c>
      <c r="Y19" s="64">
        <f>SUM(V19:X19)</f>
        <v>66.099999999999994</v>
      </c>
      <c r="Z19" s="69">
        <v>0</v>
      </c>
      <c r="AA19" s="14">
        <f>Y19+Z19</f>
        <v>66.099999999999994</v>
      </c>
      <c r="AB19" s="620">
        <f>IFERROR(AA19/O19,0)</f>
        <v>4.0802469135802468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331.3</v>
      </c>
      <c r="G20" s="64">
        <f>SUM(D20:F20)</f>
        <v>331.3</v>
      </c>
      <c r="H20" s="69">
        <v>0</v>
      </c>
      <c r="I20" s="14">
        <f>G20+H20</f>
        <v>331.3</v>
      </c>
      <c r="J20" s="18"/>
      <c r="K20" s="16"/>
      <c r="L20" s="61">
        <v>100</v>
      </c>
      <c r="M20" s="64">
        <f>SUM(J20:L20)</f>
        <v>100</v>
      </c>
      <c r="N20" s="69">
        <v>0</v>
      </c>
      <c r="O20" s="621">
        <f>M20+N20</f>
        <v>100</v>
      </c>
      <c r="P20" s="18"/>
      <c r="Q20" s="16"/>
      <c r="R20" s="61">
        <v>85.6</v>
      </c>
      <c r="S20" s="64">
        <f>SUM(P20:R20)</f>
        <v>85.6</v>
      </c>
      <c r="T20" s="69">
        <v>0</v>
      </c>
      <c r="U20" s="14">
        <f>S20+T20</f>
        <v>85.6</v>
      </c>
      <c r="V20" s="18"/>
      <c r="W20" s="16"/>
      <c r="X20" s="61">
        <v>250</v>
      </c>
      <c r="Y20" s="64">
        <f>SUM(V20:X20)</f>
        <v>250</v>
      </c>
      <c r="Z20" s="69">
        <v>0</v>
      </c>
      <c r="AA20" s="14">
        <f>Y20+Z20</f>
        <v>250</v>
      </c>
      <c r="AB20" s="620">
        <f>IFERROR(AA20/O20,0)</f>
        <v>2.5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921.8</v>
      </c>
      <c r="G21" s="64">
        <f>SUM(D21:F21)</f>
        <v>921.8</v>
      </c>
      <c r="H21" s="70">
        <v>58.6</v>
      </c>
      <c r="I21" s="14">
        <f>G21+H21</f>
        <v>980.4</v>
      </c>
      <c r="J21" s="18"/>
      <c r="K21" s="16"/>
      <c r="L21" s="61">
        <v>720.6</v>
      </c>
      <c r="M21" s="64">
        <f>SUM(J21:L21)</f>
        <v>720.6</v>
      </c>
      <c r="N21" s="70">
        <v>47</v>
      </c>
      <c r="O21" s="621">
        <f>M21+N21</f>
        <v>767.6</v>
      </c>
      <c r="P21" s="18"/>
      <c r="Q21" s="16"/>
      <c r="R21" s="61">
        <v>350.8</v>
      </c>
      <c r="S21" s="64">
        <f>SUM(P21:R21)</f>
        <v>350.8</v>
      </c>
      <c r="T21" s="70">
        <v>43.3</v>
      </c>
      <c r="U21" s="14">
        <f>S21+T21</f>
        <v>394.1</v>
      </c>
      <c r="V21" s="18"/>
      <c r="W21" s="16"/>
      <c r="X21" s="61">
        <v>710.6</v>
      </c>
      <c r="Y21" s="64">
        <f>SUM(V21:X21)</f>
        <v>710.6</v>
      </c>
      <c r="Z21" s="70">
        <v>68</v>
      </c>
      <c r="AA21" s="14">
        <f>Y21+Z21</f>
        <v>778.6</v>
      </c>
      <c r="AB21" s="620">
        <f>IFERROR(AA21/O21,0)</f>
        <v>1.0143303804064616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>SUM(D22:F22)</f>
        <v>0</v>
      </c>
      <c r="H22" s="70">
        <v>0</v>
      </c>
      <c r="I22" s="14">
        <f>G22+H22</f>
        <v>0</v>
      </c>
      <c r="J22" s="18"/>
      <c r="K22" s="16"/>
      <c r="L22" s="61">
        <v>0</v>
      </c>
      <c r="M22" s="64">
        <f>SUM(J22:L22)</f>
        <v>0</v>
      </c>
      <c r="N22" s="70">
        <v>0</v>
      </c>
      <c r="O22" s="621">
        <f>M22+N22</f>
        <v>0</v>
      </c>
      <c r="P22" s="18"/>
      <c r="Q22" s="16"/>
      <c r="R22" s="61">
        <v>0</v>
      </c>
      <c r="S22" s="64">
        <f>SUM(P22:R22)</f>
        <v>0</v>
      </c>
      <c r="T22" s="70">
        <v>0</v>
      </c>
      <c r="U22" s="14">
        <f>S22+T22</f>
        <v>0</v>
      </c>
      <c r="V22" s="18"/>
      <c r="W22" s="16"/>
      <c r="X22" s="61">
        <v>0</v>
      </c>
      <c r="Y22" s="64">
        <f>SUM(V22:X22)</f>
        <v>0</v>
      </c>
      <c r="Z22" s="70">
        <v>0</v>
      </c>
      <c r="AA22" s="14">
        <f>Y22+Z22</f>
        <v>0</v>
      </c>
      <c r="AB22" s="620">
        <f>IFERROR(AA22/O22,0)</f>
        <v>0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0</v>
      </c>
      <c r="G23" s="64">
        <f>SUM(D23:F23)</f>
        <v>0</v>
      </c>
      <c r="H23" s="71">
        <v>0</v>
      </c>
      <c r="I23" s="23">
        <f>G23+H23</f>
        <v>0</v>
      </c>
      <c r="J23" s="21"/>
      <c r="K23" s="22"/>
      <c r="L23" s="62">
        <v>0</v>
      </c>
      <c r="M23" s="65">
        <f>SUM(J23:L23)</f>
        <v>0</v>
      </c>
      <c r="N23" s="71">
        <v>0</v>
      </c>
      <c r="O23" s="619">
        <f>M23+N23</f>
        <v>0</v>
      </c>
      <c r="P23" s="21"/>
      <c r="Q23" s="22"/>
      <c r="R23" s="62">
        <v>0</v>
      </c>
      <c r="S23" s="65">
        <f>SUM(P23:R23)</f>
        <v>0</v>
      </c>
      <c r="T23" s="71">
        <v>0</v>
      </c>
      <c r="U23" s="23">
        <f>S23+T23</f>
        <v>0</v>
      </c>
      <c r="V23" s="21"/>
      <c r="W23" s="22"/>
      <c r="X23" s="62">
        <v>0</v>
      </c>
      <c r="Y23" s="65">
        <f>SUM(V23:X23)</f>
        <v>0</v>
      </c>
      <c r="Z23" s="71">
        <v>0</v>
      </c>
      <c r="AA23" s="23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15913.300000000001</v>
      </c>
      <c r="E24" s="27">
        <f>SUM(E15:E21)</f>
        <v>122096.8</v>
      </c>
      <c r="F24" s="27">
        <f>SUM(F15:F21)</f>
        <v>11892.8</v>
      </c>
      <c r="G24" s="28">
        <f>SUM(D24:F24)</f>
        <v>149902.9</v>
      </c>
      <c r="H24" s="29">
        <f>SUM(H15:H23)</f>
        <v>58.6</v>
      </c>
      <c r="I24" s="29">
        <f>SUM(I15:I21)</f>
        <v>149961.5</v>
      </c>
      <c r="J24" s="26">
        <f>SUM(J15:J21)</f>
        <v>15214</v>
      </c>
      <c r="K24" s="27">
        <f>SUM(K15:K21)</f>
        <v>121751</v>
      </c>
      <c r="L24" s="27">
        <f>SUM(L15:L21)</f>
        <v>12364.900000000001</v>
      </c>
      <c r="M24" s="28">
        <f>SUM(J24:L24)</f>
        <v>149329.9</v>
      </c>
      <c r="N24" s="29">
        <f>SUM(N15:N23)</f>
        <v>47</v>
      </c>
      <c r="O24" s="644">
        <f>SUM(O15:O21)</f>
        <v>149376.90000000002</v>
      </c>
      <c r="P24" s="26">
        <f>SUM(P15:P21)</f>
        <v>7552.2</v>
      </c>
      <c r="Q24" s="27">
        <f>SUM(Q15:Q21)</f>
        <v>63292.7</v>
      </c>
      <c r="R24" s="27">
        <f>SUM(R15:R21)</f>
        <v>6077.8</v>
      </c>
      <c r="S24" s="28">
        <f>SUM(P24:R24)</f>
        <v>76922.7</v>
      </c>
      <c r="T24" s="29">
        <f>SUM(T15:T23)</f>
        <v>43.3</v>
      </c>
      <c r="U24" s="29">
        <f>SUM(U15:U21)</f>
        <v>76966</v>
      </c>
      <c r="V24" s="26">
        <f>SUM(V15:V21)</f>
        <v>14979.5</v>
      </c>
      <c r="W24" s="27">
        <f>SUM(W15:W21)</f>
        <v>131671</v>
      </c>
      <c r="X24" s="27">
        <f>SUM(X15:X21)</f>
        <v>12400.7</v>
      </c>
      <c r="Y24" s="28">
        <f>SUM(V24:X24)</f>
        <v>159051.20000000001</v>
      </c>
      <c r="Z24" s="29">
        <f>SUM(Z15:Z23)</f>
        <v>68</v>
      </c>
      <c r="AA24" s="29">
        <f>SUM(AA15:AA21)</f>
        <v>159119.20000000001</v>
      </c>
      <c r="AB24" s="643">
        <f>IFERROR(AA24/O24,0)</f>
        <v>1.0652195888387026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638" t="s">
        <v>176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632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625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772</v>
      </c>
      <c r="E28" s="72">
        <v>0</v>
      </c>
      <c r="F28" s="72">
        <v>763.3</v>
      </c>
      <c r="G28" s="73">
        <f>SUM(D28:F28)</f>
        <v>1535.3</v>
      </c>
      <c r="H28" s="73">
        <v>0</v>
      </c>
      <c r="I28" s="37">
        <f>G28+H28</f>
        <v>1535.3</v>
      </c>
      <c r="J28" s="80">
        <v>1195</v>
      </c>
      <c r="K28" s="72">
        <v>0</v>
      </c>
      <c r="L28" s="72">
        <v>887</v>
      </c>
      <c r="M28" s="73">
        <f>SUM(J28:L28)</f>
        <v>2082</v>
      </c>
      <c r="N28" s="73">
        <v>0</v>
      </c>
      <c r="O28" s="624">
        <f>M28+N28</f>
        <v>2082</v>
      </c>
      <c r="P28" s="80">
        <v>705.4</v>
      </c>
      <c r="Q28" s="72">
        <v>0</v>
      </c>
      <c r="R28" s="72">
        <v>184.1</v>
      </c>
      <c r="S28" s="73">
        <f>SUM(P28:R28)</f>
        <v>889.5</v>
      </c>
      <c r="T28" s="73"/>
      <c r="U28" s="37">
        <f>S28+T28</f>
        <v>889.5</v>
      </c>
      <c r="V28" s="80">
        <v>1155</v>
      </c>
      <c r="W28" s="72">
        <v>0</v>
      </c>
      <c r="X28" s="72">
        <v>1003</v>
      </c>
      <c r="Y28" s="73">
        <f>SUM(V28:X28)</f>
        <v>2158</v>
      </c>
      <c r="Z28" s="73">
        <v>0</v>
      </c>
      <c r="AA28" s="37">
        <f>Y28+Z28</f>
        <v>2158</v>
      </c>
      <c r="AB28" s="620">
        <f>IFERROR(AA28/O28,0)</f>
        <v>1.0365033621517772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622</v>
      </c>
      <c r="E29" s="74">
        <v>137.19999999999999</v>
      </c>
      <c r="F29" s="74">
        <v>8709.2999999999993</v>
      </c>
      <c r="G29" s="75">
        <f>SUM(D29:F29)</f>
        <v>9468.5</v>
      </c>
      <c r="H29" s="76">
        <v>0</v>
      </c>
      <c r="I29" s="14">
        <f>G29+H29</f>
        <v>9468.5</v>
      </c>
      <c r="J29" s="81">
        <v>725</v>
      </c>
      <c r="K29" s="74">
        <v>101</v>
      </c>
      <c r="L29" s="74">
        <v>9760.5</v>
      </c>
      <c r="M29" s="75">
        <f>SUM(J29:L29)</f>
        <v>10586.5</v>
      </c>
      <c r="N29" s="76">
        <v>0</v>
      </c>
      <c r="O29" s="621">
        <f>M29+N29</f>
        <v>10586.5</v>
      </c>
      <c r="P29" s="81">
        <v>404</v>
      </c>
      <c r="Q29" s="74">
        <v>0.5</v>
      </c>
      <c r="R29" s="74">
        <v>4648.7</v>
      </c>
      <c r="S29" s="75">
        <f>SUM(P29:R29)</f>
        <v>5053.2</v>
      </c>
      <c r="T29" s="76"/>
      <c r="U29" s="14">
        <f>S29+T29</f>
        <v>5053.2</v>
      </c>
      <c r="V29" s="81">
        <v>655.20000000000005</v>
      </c>
      <c r="W29" s="74">
        <v>101</v>
      </c>
      <c r="X29" s="74">
        <v>9959</v>
      </c>
      <c r="Y29" s="75">
        <f>SUM(V29:X29)</f>
        <v>10715.2</v>
      </c>
      <c r="Z29" s="76">
        <v>0</v>
      </c>
      <c r="AA29" s="14">
        <f>Y29+Z29</f>
        <v>10715.2</v>
      </c>
      <c r="AB29" s="620">
        <f>IFERROR(AA29/O29,0)</f>
        <v>1.0121569923959761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8455.2000000000007</v>
      </c>
      <c r="E30" s="77">
        <v>0</v>
      </c>
      <c r="F30" s="77">
        <v>0</v>
      </c>
      <c r="G30" s="75">
        <f>SUM(D30:F30)</f>
        <v>8455.2000000000007</v>
      </c>
      <c r="H30" s="75">
        <v>0</v>
      </c>
      <c r="I30" s="14">
        <f>G30+H30</f>
        <v>8455.2000000000007</v>
      </c>
      <c r="J30" s="82">
        <v>8610</v>
      </c>
      <c r="K30" s="77">
        <v>0</v>
      </c>
      <c r="L30" s="77">
        <v>0</v>
      </c>
      <c r="M30" s="75">
        <f>SUM(J30:L30)</f>
        <v>8610</v>
      </c>
      <c r="N30" s="75">
        <v>0</v>
      </c>
      <c r="O30" s="621">
        <f>M30+N30</f>
        <v>8610</v>
      </c>
      <c r="P30" s="82">
        <v>3570.3</v>
      </c>
      <c r="Q30" s="77">
        <v>0</v>
      </c>
      <c r="R30" s="77">
        <v>0</v>
      </c>
      <c r="S30" s="75">
        <f>SUM(P30:R30)</f>
        <v>3570.3</v>
      </c>
      <c r="T30" s="75"/>
      <c r="U30" s="14">
        <f>S30+T30</f>
        <v>3570.3</v>
      </c>
      <c r="V30" s="82">
        <v>8370</v>
      </c>
      <c r="W30" s="77">
        <v>0</v>
      </c>
      <c r="X30" s="77">
        <v>0</v>
      </c>
      <c r="Y30" s="75">
        <f>SUM(V30:X30)</f>
        <v>8370</v>
      </c>
      <c r="Z30" s="75">
        <v>0</v>
      </c>
      <c r="AA30" s="14">
        <f>Y30+Z30</f>
        <v>8370</v>
      </c>
      <c r="AB30" s="620">
        <f>IFERROR(AA30/O30,0)</f>
        <v>0.97212543554006969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1929</v>
      </c>
      <c r="E31" s="77">
        <v>22.8</v>
      </c>
      <c r="F31" s="77">
        <v>952.2</v>
      </c>
      <c r="G31" s="75">
        <f>SUM(D31:F31)</f>
        <v>2904</v>
      </c>
      <c r="H31" s="75">
        <v>0</v>
      </c>
      <c r="I31" s="14">
        <f>G31+H31</f>
        <v>2904</v>
      </c>
      <c r="J31" s="82">
        <v>2385.6</v>
      </c>
      <c r="K31" s="77">
        <v>16.5</v>
      </c>
      <c r="L31" s="77">
        <v>458.5</v>
      </c>
      <c r="M31" s="75">
        <f>SUM(J31:L31)</f>
        <v>2860.6</v>
      </c>
      <c r="N31" s="75">
        <v>0</v>
      </c>
      <c r="O31" s="621">
        <f>M31+N31</f>
        <v>2860.6</v>
      </c>
      <c r="P31" s="82">
        <v>1124.5999999999999</v>
      </c>
      <c r="Q31" s="77">
        <v>20</v>
      </c>
      <c r="R31" s="77">
        <v>260.39999999999998</v>
      </c>
      <c r="S31" s="75">
        <f>SUM(P31:R31)</f>
        <v>1405</v>
      </c>
      <c r="T31" s="75"/>
      <c r="U31" s="14">
        <f>S31+T31</f>
        <v>1405</v>
      </c>
      <c r="V31" s="82">
        <v>2457.5</v>
      </c>
      <c r="W31" s="77">
        <v>0</v>
      </c>
      <c r="X31" s="77">
        <v>397</v>
      </c>
      <c r="Y31" s="75">
        <f>SUM(V31:X31)</f>
        <v>2854.5</v>
      </c>
      <c r="Z31" s="75">
        <v>0</v>
      </c>
      <c r="AA31" s="14">
        <f>Y31+Z31</f>
        <v>2854.5</v>
      </c>
      <c r="AB31" s="620">
        <f>IFERROR(AA31/O31,0)</f>
        <v>0.99786758022792421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1115</v>
      </c>
      <c r="E32" s="77">
        <v>89415.1</v>
      </c>
      <c r="F32" s="77">
        <v>0</v>
      </c>
      <c r="G32" s="75">
        <f>SUM(D32:F32)</f>
        <v>90530.1</v>
      </c>
      <c r="H32" s="75">
        <v>0</v>
      </c>
      <c r="I32" s="14">
        <f>G32+H32</f>
        <v>90530.1</v>
      </c>
      <c r="J32" s="83">
        <v>1140</v>
      </c>
      <c r="K32" s="77">
        <v>89835</v>
      </c>
      <c r="L32" s="77">
        <v>0</v>
      </c>
      <c r="M32" s="75">
        <f>SUM(J32:L32)</f>
        <v>90975</v>
      </c>
      <c r="N32" s="75">
        <v>0</v>
      </c>
      <c r="O32" s="621">
        <f>M32+N32</f>
        <v>90975</v>
      </c>
      <c r="P32" s="83">
        <v>754.2</v>
      </c>
      <c r="Q32" s="77">
        <v>45821.9</v>
      </c>
      <c r="R32" s="77">
        <v>0</v>
      </c>
      <c r="S32" s="75">
        <f>SUM(P32:R32)</f>
        <v>46576.1</v>
      </c>
      <c r="T32" s="75"/>
      <c r="U32" s="14">
        <f>S32+T32</f>
        <v>46576.1</v>
      </c>
      <c r="V32" s="83">
        <v>1122</v>
      </c>
      <c r="W32" s="77">
        <v>97202.3</v>
      </c>
      <c r="X32" s="77">
        <v>0</v>
      </c>
      <c r="Y32" s="75">
        <f>SUM(V32:X32)</f>
        <v>98324.3</v>
      </c>
      <c r="Z32" s="75">
        <v>0</v>
      </c>
      <c r="AA32" s="14">
        <f>Y32+Z32</f>
        <v>98324.3</v>
      </c>
      <c r="AB32" s="620">
        <f>IFERROR(AA32/O32,0)</f>
        <v>1.0807837317944491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1115</v>
      </c>
      <c r="E33" s="77">
        <f>SUM(E32-E34)</f>
        <v>89385.1</v>
      </c>
      <c r="F33" s="77">
        <v>0</v>
      </c>
      <c r="G33" s="75">
        <f>SUM(D33:F33)</f>
        <v>90500.1</v>
      </c>
      <c r="H33" s="75">
        <v>0</v>
      </c>
      <c r="I33" s="14">
        <f>G33+H33</f>
        <v>90500.1</v>
      </c>
      <c r="J33" s="83">
        <v>1140</v>
      </c>
      <c r="K33" s="77">
        <v>89805</v>
      </c>
      <c r="L33" s="77">
        <v>0</v>
      </c>
      <c r="M33" s="75">
        <f>SUM(J33:L33)</f>
        <v>90945</v>
      </c>
      <c r="N33" s="75">
        <v>0</v>
      </c>
      <c r="O33" s="621">
        <f>M33+N33</f>
        <v>90945</v>
      </c>
      <c r="P33" s="83">
        <v>754.2</v>
      </c>
      <c r="Q33" s="77">
        <v>45821.9</v>
      </c>
      <c r="R33" s="77">
        <v>0</v>
      </c>
      <c r="S33" s="75">
        <f>SUM(P33:R33)</f>
        <v>46576.1</v>
      </c>
      <c r="T33" s="75"/>
      <c r="U33" s="14">
        <f>S33+T33</f>
        <v>46576.1</v>
      </c>
      <c r="V33" s="83">
        <v>1122</v>
      </c>
      <c r="W33" s="77">
        <v>97202.3</v>
      </c>
      <c r="X33" s="77">
        <v>0</v>
      </c>
      <c r="Y33" s="75">
        <f>SUM(V33:X33)</f>
        <v>98324.3</v>
      </c>
      <c r="Z33" s="75">
        <v>0</v>
      </c>
      <c r="AA33" s="14">
        <f>Y33+Z33</f>
        <v>98324.3</v>
      </c>
      <c r="AB33" s="620">
        <f>IFERROR(AA33/O33,0)</f>
        <v>1.0811402496014075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>
        <v>0</v>
      </c>
      <c r="E34" s="77">
        <v>30</v>
      </c>
      <c r="F34" s="77">
        <v>0</v>
      </c>
      <c r="G34" s="75">
        <f>SUM(D34:F34)</f>
        <v>30</v>
      </c>
      <c r="H34" s="75">
        <v>0</v>
      </c>
      <c r="I34" s="14">
        <f>G34+H34</f>
        <v>30</v>
      </c>
      <c r="J34" s="83">
        <v>0</v>
      </c>
      <c r="K34" s="77">
        <v>30</v>
      </c>
      <c r="L34" s="77">
        <v>0</v>
      </c>
      <c r="M34" s="75">
        <f>SUM(J34:L34)</f>
        <v>30</v>
      </c>
      <c r="N34" s="75">
        <v>0</v>
      </c>
      <c r="O34" s="621">
        <f>M34+N34</f>
        <v>30</v>
      </c>
      <c r="P34" s="83">
        <v>0</v>
      </c>
      <c r="Q34" s="77">
        <v>0</v>
      </c>
      <c r="R34" s="77">
        <v>0</v>
      </c>
      <c r="S34" s="75">
        <f>SUM(P34:R34)</f>
        <v>0</v>
      </c>
      <c r="T34" s="75"/>
      <c r="U34" s="14">
        <f>S34+T34</f>
        <v>0</v>
      </c>
      <c r="V34" s="83">
        <v>0</v>
      </c>
      <c r="W34" s="77">
        <v>0</v>
      </c>
      <c r="X34" s="77">
        <v>0</v>
      </c>
      <c r="Y34" s="75">
        <f>SUM(V34:X34)</f>
        <v>0</v>
      </c>
      <c r="Z34" s="75">
        <v>0</v>
      </c>
      <c r="AA34" s="14">
        <f>Y34+Z34</f>
        <v>0</v>
      </c>
      <c r="AB34" s="620">
        <f>IFERROR(AA34/O34,0)</f>
        <v>0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385.6</v>
      </c>
      <c r="E35" s="77">
        <v>30092.6</v>
      </c>
      <c r="F35" s="77">
        <v>283.10000000000002</v>
      </c>
      <c r="G35" s="75">
        <f>SUM(D35:F35)</f>
        <v>30761.299999999996</v>
      </c>
      <c r="H35" s="75">
        <v>0</v>
      </c>
      <c r="I35" s="14">
        <f>G35+H35</f>
        <v>30761.299999999996</v>
      </c>
      <c r="J35" s="83">
        <v>391</v>
      </c>
      <c r="K35" s="77">
        <v>30572.2</v>
      </c>
      <c r="L35" s="77">
        <v>0</v>
      </c>
      <c r="M35" s="75">
        <f>SUM(J35:L35)</f>
        <v>30963.200000000001</v>
      </c>
      <c r="N35" s="75">
        <v>0</v>
      </c>
      <c r="O35" s="621">
        <f>M35+N35</f>
        <v>30963.200000000001</v>
      </c>
      <c r="P35" s="83">
        <v>257.5</v>
      </c>
      <c r="Q35" s="77">
        <v>15391.7</v>
      </c>
      <c r="R35" s="77">
        <v>0</v>
      </c>
      <c r="S35" s="75">
        <f>SUM(P35:R35)</f>
        <v>15649.2</v>
      </c>
      <c r="T35" s="75"/>
      <c r="U35" s="14">
        <f>S35+T35</f>
        <v>15649.2</v>
      </c>
      <c r="V35" s="83">
        <v>383.9</v>
      </c>
      <c r="W35" s="77">
        <v>33102.400000000001</v>
      </c>
      <c r="X35" s="77">
        <v>66.2</v>
      </c>
      <c r="Y35" s="75">
        <f>SUM(V35:X35)</f>
        <v>33552.5</v>
      </c>
      <c r="Z35" s="75">
        <v>0</v>
      </c>
      <c r="AA35" s="14">
        <f>Y35+Z35</f>
        <v>33552.5</v>
      </c>
      <c r="AB35" s="620">
        <f>IFERROR(AA35/O35,0)</f>
        <v>1.0836250775113683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0</v>
      </c>
      <c r="G36" s="75">
        <f>SUM(D36:F36)</f>
        <v>0</v>
      </c>
      <c r="H36" s="75">
        <v>0</v>
      </c>
      <c r="I36" s="14">
        <f>G36+H36</f>
        <v>0</v>
      </c>
      <c r="J36" s="82">
        <v>0</v>
      </c>
      <c r="K36" s="77">
        <v>0</v>
      </c>
      <c r="L36" s="77">
        <v>0</v>
      </c>
      <c r="M36" s="75">
        <f>SUM(J36:L36)</f>
        <v>0</v>
      </c>
      <c r="N36" s="75">
        <v>0</v>
      </c>
      <c r="O36" s="621">
        <f>M36+N36</f>
        <v>0</v>
      </c>
      <c r="P36" s="82">
        <v>0</v>
      </c>
      <c r="Q36" s="77">
        <v>0</v>
      </c>
      <c r="R36" s="77">
        <v>0</v>
      </c>
      <c r="S36" s="75">
        <f>SUM(P36:R36)</f>
        <v>0</v>
      </c>
      <c r="T36" s="75"/>
      <c r="U36" s="14">
        <f>S36+T36</f>
        <v>0</v>
      </c>
      <c r="V36" s="82">
        <v>0</v>
      </c>
      <c r="W36" s="77">
        <v>0</v>
      </c>
      <c r="X36" s="77">
        <v>0</v>
      </c>
      <c r="Y36" s="75">
        <f>SUM(V36:X36)</f>
        <v>0</v>
      </c>
      <c r="Z36" s="75">
        <v>0</v>
      </c>
      <c r="AA36" s="14">
        <f>Y36+Z36</f>
        <v>0</v>
      </c>
      <c r="AB36" s="620">
        <f>IFERROR(AA36/O36,0)</f>
        <v>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1401.3</v>
      </c>
      <c r="E37" s="77">
        <v>0</v>
      </c>
      <c r="F37" s="77">
        <v>0</v>
      </c>
      <c r="G37" s="75">
        <f>SUM(D37:F37)</f>
        <v>1401.3</v>
      </c>
      <c r="H37" s="75">
        <v>0</v>
      </c>
      <c r="I37" s="14">
        <f>G37+H37</f>
        <v>1401.3</v>
      </c>
      <c r="J37" s="82">
        <v>299</v>
      </c>
      <c r="K37" s="77">
        <v>0</v>
      </c>
      <c r="L37" s="77">
        <v>16.2</v>
      </c>
      <c r="M37" s="75">
        <f>SUM(J37:L37)</f>
        <v>315.2</v>
      </c>
      <c r="N37" s="75">
        <v>0</v>
      </c>
      <c r="O37" s="621">
        <f>M37+N37</f>
        <v>315.2</v>
      </c>
      <c r="P37" s="82">
        <v>165.6</v>
      </c>
      <c r="Q37" s="77">
        <v>0</v>
      </c>
      <c r="R37" s="77">
        <v>16.399999999999999</v>
      </c>
      <c r="S37" s="75">
        <f>SUM(P37:R37)</f>
        <v>182</v>
      </c>
      <c r="T37" s="75"/>
      <c r="U37" s="14">
        <f>S37+T37</f>
        <v>182</v>
      </c>
      <c r="V37" s="82">
        <v>333.5</v>
      </c>
      <c r="W37" s="77">
        <v>0</v>
      </c>
      <c r="X37" s="77">
        <v>0</v>
      </c>
      <c r="Y37" s="75">
        <f>SUM(V37:X37)</f>
        <v>333.5</v>
      </c>
      <c r="Z37" s="75">
        <v>0</v>
      </c>
      <c r="AA37" s="14">
        <f>Y37+Z37</f>
        <v>333.5</v>
      </c>
      <c r="AB37" s="620">
        <f>IFERROR(AA37/O37,0)</f>
        <v>1.0580583756345179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516.1</v>
      </c>
      <c r="E38" s="311">
        <v>2429.1</v>
      </c>
      <c r="F38" s="78">
        <v>1223.9000000000001</v>
      </c>
      <c r="G38" s="75">
        <f>SUM(D38:F38)</f>
        <v>4169.1000000000004</v>
      </c>
      <c r="H38" s="79">
        <v>0</v>
      </c>
      <c r="I38" s="23">
        <f>G38+H38</f>
        <v>4169.1000000000004</v>
      </c>
      <c r="J38" s="84">
        <v>468.4</v>
      </c>
      <c r="K38" s="78">
        <v>1226.3</v>
      </c>
      <c r="L38" s="78">
        <v>1242.7</v>
      </c>
      <c r="M38" s="79">
        <f>SUM(J38:L38)</f>
        <v>2937.3999999999996</v>
      </c>
      <c r="N38" s="79">
        <v>0</v>
      </c>
      <c r="O38" s="619">
        <f>M38+N38</f>
        <v>2937.3999999999996</v>
      </c>
      <c r="P38" s="84">
        <v>733.6</v>
      </c>
      <c r="Q38" s="78">
        <v>631.29999999999995</v>
      </c>
      <c r="R38" s="78">
        <v>230.7</v>
      </c>
      <c r="S38" s="79">
        <f>SUM(P38:R38)</f>
        <v>1595.6000000000001</v>
      </c>
      <c r="T38" s="79"/>
      <c r="U38" s="23">
        <f>S38+T38</f>
        <v>1595.6000000000001</v>
      </c>
      <c r="V38" s="84">
        <v>502.4</v>
      </c>
      <c r="W38" s="78">
        <v>1265.3</v>
      </c>
      <c r="X38" s="78">
        <v>975.5</v>
      </c>
      <c r="Y38" s="79">
        <f>SUM(V38:X38)</f>
        <v>2743.2</v>
      </c>
      <c r="Z38" s="79">
        <v>0</v>
      </c>
      <c r="AA38" s="23">
        <f>Y38+Z38</f>
        <v>2743.2</v>
      </c>
      <c r="AB38" s="618">
        <f>IFERROR(AA38/O38,0)</f>
        <v>0.93388711105058897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15196.2</v>
      </c>
      <c r="E39" s="42">
        <f>SUM(E35:E38)+SUM(E28:E32)</f>
        <v>122096.8</v>
      </c>
      <c r="F39" s="42">
        <f>SUM(F35:F38)+SUM(F28:F32)</f>
        <v>11931.8</v>
      </c>
      <c r="G39" s="144">
        <f>SUM(D39:F39)</f>
        <v>149224.79999999999</v>
      </c>
      <c r="H39" s="43">
        <f>SUM(H28:H32)+SUM(H35:H38)</f>
        <v>0</v>
      </c>
      <c r="I39" s="44">
        <f>SUM(I35:I38)+SUM(I28:I32)</f>
        <v>149224.79999999999</v>
      </c>
      <c r="J39" s="42">
        <f>SUM(J35:J38)+SUM(J28:J32)</f>
        <v>15214</v>
      </c>
      <c r="K39" s="42">
        <f>SUM(K35:K38)+SUM(K28:K32)</f>
        <v>121751</v>
      </c>
      <c r="L39" s="42">
        <f>SUM(L35:L38)+SUM(L28:L32)</f>
        <v>12364.9</v>
      </c>
      <c r="M39" s="144">
        <f>SUM(J39:L39)</f>
        <v>149329.9</v>
      </c>
      <c r="N39" s="43">
        <f>SUM(N28:N32)+SUM(N35:N38)</f>
        <v>0</v>
      </c>
      <c r="O39" s="617">
        <f>SUM(O35:O38)+SUM(O28:O32)</f>
        <v>149329.90000000002</v>
      </c>
      <c r="P39" s="42">
        <f>SUM(P35:P38)+SUM(P28:P32)</f>
        <v>7715.2000000000007</v>
      </c>
      <c r="Q39" s="42">
        <f>SUM(Q35:Q38)+SUM(Q28:Q32)</f>
        <v>61865.4</v>
      </c>
      <c r="R39" s="42">
        <f>SUM(R35:R38)+SUM(R28:R32)</f>
        <v>5340.3</v>
      </c>
      <c r="S39" s="144">
        <f>SUM(P39:R39)</f>
        <v>74920.900000000009</v>
      </c>
      <c r="T39" s="43">
        <f>SUM(T28:T32)+SUM(T35:T38)</f>
        <v>0</v>
      </c>
      <c r="U39" s="44">
        <f>SUM(U35:U38)+SUM(U28:U32)</f>
        <v>74920.899999999994</v>
      </c>
      <c r="V39" s="42">
        <f>SUM(V35:V38)+SUM(V28:V32)</f>
        <v>14979.5</v>
      </c>
      <c r="W39" s="42">
        <f>SUM(W35:W38)+SUM(W28:W32)</f>
        <v>131671</v>
      </c>
      <c r="X39" s="42">
        <f>SUM(X35:X38)+SUM(X28:X32)</f>
        <v>12400.7</v>
      </c>
      <c r="Y39" s="144">
        <f>SUM(V39:X39)</f>
        <v>159051.20000000001</v>
      </c>
      <c r="Z39" s="43">
        <f>SUM(Z28:Z32)+SUM(Z35:Z38)</f>
        <v>0</v>
      </c>
      <c r="AA39" s="44">
        <f>SUM(AA35:AA38)+SUM(AA28:AA32)</f>
        <v>159051.20000000001</v>
      </c>
      <c r="AB39" s="616">
        <f>IFERROR(AA39/O39,0)</f>
        <v>1.0650994877784019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717.10000000000036</v>
      </c>
      <c r="E40" s="109">
        <f>E24-E39</f>
        <v>0</v>
      </c>
      <c r="F40" s="109">
        <f>F24-F39</f>
        <v>-39</v>
      </c>
      <c r="G40" s="118">
        <f>G24-G39</f>
        <v>678.10000000000582</v>
      </c>
      <c r="H40" s="118">
        <f>H24-H39</f>
        <v>58.6</v>
      </c>
      <c r="I40" s="119">
        <f>I24-I39</f>
        <v>736.70000000001164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47</v>
      </c>
      <c r="O40" s="614">
        <f>O24-O39</f>
        <v>47</v>
      </c>
      <c r="P40" s="109">
        <f>P24-P39</f>
        <v>-163.00000000000091</v>
      </c>
      <c r="Q40" s="109">
        <f>Q24-Q39</f>
        <v>1427.2999999999956</v>
      </c>
      <c r="R40" s="109">
        <f>R24-R39</f>
        <v>737.5</v>
      </c>
      <c r="S40" s="118">
        <f>S24-S39</f>
        <v>2001.7999999999884</v>
      </c>
      <c r="T40" s="118">
        <f>T24-T39</f>
        <v>43.3</v>
      </c>
      <c r="U40" s="119">
        <f>U24-U39</f>
        <v>2045.1000000000058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68</v>
      </c>
      <c r="AA40" s="119">
        <f>AA24-AA39</f>
        <v>68</v>
      </c>
      <c r="AB40" s="613">
        <f>IFERROR(AA40/O40,0)</f>
        <v>1.446808510638298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-14854.899999999989</v>
      </c>
      <c r="J41" s="112"/>
      <c r="K41" s="113"/>
      <c r="L41" s="113"/>
      <c r="M41" s="114"/>
      <c r="N41" s="117"/>
      <c r="O41" s="116">
        <f>O40-J16</f>
        <v>-14927</v>
      </c>
      <c r="P41" s="112"/>
      <c r="Q41" s="113"/>
      <c r="R41" s="113"/>
      <c r="S41" s="114"/>
      <c r="T41" s="117"/>
      <c r="U41" s="116">
        <f>U40-P16</f>
        <v>-5442.099999999994</v>
      </c>
      <c r="V41" s="112"/>
      <c r="W41" s="113"/>
      <c r="X41" s="113"/>
      <c r="Y41" s="114"/>
      <c r="Z41" s="117"/>
      <c r="AA41" s="116">
        <f>AA40-V16</f>
        <v>-14766</v>
      </c>
      <c r="AB41" s="612">
        <f>IFERROR(AA41/O41,0)</f>
        <v>0.98921417565485359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f>SUM(E44:F44)</f>
        <v>1044</v>
      </c>
      <c r="E44" s="104">
        <v>1044</v>
      </c>
      <c r="F44" s="105">
        <v>0</v>
      </c>
      <c r="G44" s="49"/>
      <c r="H44" s="49"/>
      <c r="I44" s="50"/>
      <c r="J44" s="94">
        <v>0</v>
      </c>
      <c r="K44" s="104">
        <v>0</v>
      </c>
      <c r="L44" s="105">
        <v>0</v>
      </c>
      <c r="M44" s="93"/>
      <c r="N44" s="93"/>
      <c r="O44" s="93"/>
      <c r="P44" s="94">
        <f>SUM(Q44:R44)</f>
        <v>0</v>
      </c>
      <c r="Q44" s="104">
        <v>0</v>
      </c>
      <c r="R44" s="105">
        <v>0</v>
      </c>
      <c r="S44" s="4"/>
      <c r="T44" s="4"/>
      <c r="U44" s="4"/>
      <c r="V44" s="94">
        <f>SUM(W44:X44)</f>
        <v>0</v>
      </c>
      <c r="W44" s="104">
        <v>0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500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992</v>
      </c>
      <c r="E50" s="85">
        <f>SUM(E51:E54)</f>
        <v>7229</v>
      </c>
      <c r="F50" s="85">
        <f>SUM(F51:F54)</f>
        <v>4233</v>
      </c>
      <c r="G50" s="52">
        <f>D50+E50-F50</f>
        <v>3988</v>
      </c>
      <c r="H50" s="49"/>
      <c r="I50" s="4"/>
      <c r="J50" s="52">
        <f>G50+H50-I50</f>
        <v>3988</v>
      </c>
      <c r="K50" s="85">
        <f>SUM(K51:K54)</f>
        <v>1446</v>
      </c>
      <c r="L50" s="85">
        <f>SUM(L51:L54)</f>
        <v>1110</v>
      </c>
      <c r="M50" s="52">
        <f>J50+K50-L50</f>
        <v>4324</v>
      </c>
      <c r="N50" s="4"/>
      <c r="O50" s="4"/>
      <c r="P50" s="52">
        <f>SUM(P51:P54)</f>
        <v>3988</v>
      </c>
      <c r="Q50" s="85">
        <f>SUM(Q51:Q54)</f>
        <v>3560</v>
      </c>
      <c r="R50" s="85">
        <f>SUM(R51:R54)</f>
        <v>6137</v>
      </c>
      <c r="S50" s="52">
        <f>P50+Q50-R50</f>
        <v>1411</v>
      </c>
      <c r="T50" s="4"/>
      <c r="U50" s="4"/>
      <c r="V50" s="85">
        <f>SUM(V51:V54)</f>
        <v>1411</v>
      </c>
      <c r="W50" s="85">
        <f>SUM(W51:W54)</f>
        <v>1820</v>
      </c>
      <c r="X50" s="85">
        <f>SUM(X51:X54)</f>
        <v>1670</v>
      </c>
      <c r="Y50" s="52">
        <f>V50+W50-X50</f>
        <v>1561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257</v>
      </c>
      <c r="E51" s="85">
        <v>3337</v>
      </c>
      <c r="F51" s="85">
        <v>418</v>
      </c>
      <c r="G51" s="52">
        <f>D51+E51-F51</f>
        <v>3176</v>
      </c>
      <c r="H51" s="49"/>
      <c r="I51" s="4"/>
      <c r="J51" s="52">
        <f>G51+H51-I51</f>
        <v>3176</v>
      </c>
      <c r="K51" s="85">
        <v>250</v>
      </c>
      <c r="L51" s="85">
        <v>210</v>
      </c>
      <c r="M51" s="52">
        <f>J51+K51-L51</f>
        <v>3216</v>
      </c>
      <c r="N51" s="4"/>
      <c r="O51" s="4"/>
      <c r="P51" s="52">
        <v>3176</v>
      </c>
      <c r="Q51" s="85">
        <v>850</v>
      </c>
      <c r="R51" s="85">
        <v>3570</v>
      </c>
      <c r="S51" s="52">
        <f>P51+Q51-R51</f>
        <v>456</v>
      </c>
      <c r="T51" s="4"/>
      <c r="U51" s="4"/>
      <c r="V51" s="85">
        <v>456</v>
      </c>
      <c r="W51" s="85">
        <v>350</v>
      </c>
      <c r="X51" s="85">
        <v>250</v>
      </c>
      <c r="Y51" s="52">
        <f>V51+W51-X51</f>
        <v>556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573</v>
      </c>
      <c r="E52" s="85">
        <v>2001</v>
      </c>
      <c r="F52" s="85">
        <v>2031</v>
      </c>
      <c r="G52" s="52">
        <f>D52+E52-F52</f>
        <v>543</v>
      </c>
      <c r="H52" s="49"/>
      <c r="I52" s="4"/>
      <c r="J52" s="52">
        <f>G52+H52-I52</f>
        <v>543</v>
      </c>
      <c r="K52" s="85">
        <v>299</v>
      </c>
      <c r="L52" s="85">
        <v>0</v>
      </c>
      <c r="M52" s="52">
        <f>J52+K52-L52</f>
        <v>842</v>
      </c>
      <c r="N52" s="4"/>
      <c r="O52" s="4"/>
      <c r="P52" s="52">
        <v>543</v>
      </c>
      <c r="Q52" s="85">
        <v>1730</v>
      </c>
      <c r="R52" s="85">
        <v>1687</v>
      </c>
      <c r="S52" s="52">
        <f>P52+Q52-R52</f>
        <v>586</v>
      </c>
      <c r="T52" s="4"/>
      <c r="U52" s="4"/>
      <c r="V52" s="85">
        <v>586</v>
      </c>
      <c r="W52" s="85">
        <v>450</v>
      </c>
      <c r="X52" s="85">
        <v>500</v>
      </c>
      <c r="Y52" s="52">
        <f>V52+W52-X52</f>
        <v>536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161</v>
      </c>
      <c r="E53" s="85">
        <v>38</v>
      </c>
      <c r="F53" s="85">
        <v>0</v>
      </c>
      <c r="G53" s="52">
        <f>D53+E53-F53</f>
        <v>199</v>
      </c>
      <c r="H53" s="49"/>
      <c r="I53" s="4"/>
      <c r="J53" s="52">
        <f>G53+H53-I53</f>
        <v>199</v>
      </c>
      <c r="K53" s="85">
        <v>0</v>
      </c>
      <c r="L53" s="85">
        <v>0</v>
      </c>
      <c r="M53" s="52">
        <f>J53+K53-L53</f>
        <v>199</v>
      </c>
      <c r="N53" s="4"/>
      <c r="O53" s="4"/>
      <c r="P53" s="52">
        <v>199</v>
      </c>
      <c r="Q53" s="85">
        <v>0</v>
      </c>
      <c r="R53" s="85">
        <v>0</v>
      </c>
      <c r="S53" s="52">
        <f>P53+Q53-R53</f>
        <v>199</v>
      </c>
      <c r="T53" s="4"/>
      <c r="U53" s="4"/>
      <c r="V53" s="85">
        <v>199</v>
      </c>
      <c r="W53" s="85">
        <v>0</v>
      </c>
      <c r="X53" s="85">
        <v>0</v>
      </c>
      <c r="Y53" s="52">
        <f>V53+W53-X53</f>
        <v>199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1</v>
      </c>
      <c r="E54" s="85">
        <v>1853</v>
      </c>
      <c r="F54" s="85">
        <v>1784</v>
      </c>
      <c r="G54" s="52">
        <f>D54+E54-F54</f>
        <v>70</v>
      </c>
      <c r="H54" s="49"/>
      <c r="I54" s="4"/>
      <c r="J54" s="52">
        <f>G54+H54-I54</f>
        <v>70</v>
      </c>
      <c r="K54" s="85">
        <v>897</v>
      </c>
      <c r="L54" s="85">
        <v>900</v>
      </c>
      <c r="M54" s="52">
        <f>J54+K54-L54</f>
        <v>67</v>
      </c>
      <c r="N54" s="4"/>
      <c r="O54" s="4"/>
      <c r="P54" s="52">
        <v>70</v>
      </c>
      <c r="Q54" s="85">
        <v>980</v>
      </c>
      <c r="R54" s="85">
        <v>880</v>
      </c>
      <c r="S54" s="52">
        <f>P54+Q54-R54</f>
        <v>170</v>
      </c>
      <c r="T54" s="4"/>
      <c r="U54" s="4"/>
      <c r="V54" s="85">
        <v>170</v>
      </c>
      <c r="W54" s="85">
        <v>1020</v>
      </c>
      <c r="X54" s="85">
        <v>920</v>
      </c>
      <c r="Y54" s="52">
        <f>V54+W54-X54</f>
        <v>270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222</v>
      </c>
      <c r="E57" s="86">
        <v>220</v>
      </c>
      <c r="F57" s="49"/>
      <c r="G57" s="49"/>
      <c r="H57" s="49"/>
      <c r="I57" s="50"/>
      <c r="J57" s="86">
        <v>225</v>
      </c>
      <c r="K57" s="49"/>
      <c r="L57" s="49"/>
      <c r="M57" s="49"/>
      <c r="N57" s="49"/>
      <c r="O57" s="50"/>
      <c r="P57" s="86">
        <v>225</v>
      </c>
      <c r="Q57" s="50"/>
      <c r="R57" s="50"/>
      <c r="S57" s="50"/>
      <c r="T57" s="50"/>
      <c r="U57" s="50"/>
      <c r="V57" s="86">
        <v>225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 t="s">
        <v>183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 t="s">
        <v>182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 t="s">
        <v>181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4"/>
      <c r="W87" s="154"/>
      <c r="X87" s="154"/>
      <c r="Y87" s="154"/>
      <c r="Z87" s="154"/>
      <c r="AA87" s="154"/>
      <c r="AB87" s="155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45575</v>
      </c>
      <c r="D91" s="53" t="s">
        <v>76</v>
      </c>
      <c r="E91" s="216" t="s">
        <v>180</v>
      </c>
      <c r="F91" s="216"/>
      <c r="G91" s="216"/>
      <c r="H91" s="53"/>
      <c r="I91" s="53" t="s">
        <v>77</v>
      </c>
      <c r="J91" s="223" t="s">
        <v>179</v>
      </c>
      <c r="K91" s="223"/>
      <c r="L91" s="223"/>
      <c r="M91" s="22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10:B13"/>
    <mergeCell ref="J10:O10"/>
    <mergeCell ref="J11:M11"/>
    <mergeCell ref="J12:O12"/>
    <mergeCell ref="J13:L13"/>
    <mergeCell ref="M13:M14"/>
    <mergeCell ref="N13:N14"/>
    <mergeCell ref="N26:N27"/>
    <mergeCell ref="O26:O27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91:G91"/>
    <mergeCell ref="J91:M91"/>
    <mergeCell ref="B63:U63"/>
    <mergeCell ref="B82:U82"/>
    <mergeCell ref="H26:H27"/>
    <mergeCell ref="I26:I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61" priority="5" operator="equal">
      <formula>0</formula>
    </cfRule>
    <cfRule type="containsErrors" dxfId="60" priority="6">
      <formula>ISERROR(AB15)</formula>
    </cfRule>
  </conditionalFormatting>
  <conditionalFormatting sqref="AB28:AB40">
    <cfRule type="cellIs" dxfId="59" priority="3" operator="equal">
      <formula>0</formula>
    </cfRule>
    <cfRule type="containsErrors" dxfId="58" priority="4">
      <formula>ISERROR(AB28)</formula>
    </cfRule>
  </conditionalFormatting>
  <conditionalFormatting sqref="AB41">
    <cfRule type="cellIs" dxfId="57" priority="1" operator="equal">
      <formula>0</formula>
    </cfRule>
    <cfRule type="containsErrors" dxfId="56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D276"/>
  <sheetViews>
    <sheetView showGridLines="0" zoomScale="75" zoomScaleNormal="75" zoomScaleSheetLayoutView="80" workbookViewId="0">
      <selection activeCell="D65" sqref="D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189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71294147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188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112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2528.52</v>
      </c>
      <c r="G15" s="63">
        <f>SUM(D15:F15)</f>
        <v>2528.52</v>
      </c>
      <c r="H15" s="66">
        <v>238.49</v>
      </c>
      <c r="I15" s="14">
        <f>G15+H15</f>
        <v>2767.01</v>
      </c>
      <c r="J15" s="687"/>
      <c r="K15" s="686"/>
      <c r="L15" s="685">
        <v>2400</v>
      </c>
      <c r="M15" s="684">
        <f>SUM(J15:L15)</f>
        <v>2400</v>
      </c>
      <c r="N15" s="679">
        <v>350</v>
      </c>
      <c r="O15" s="621">
        <f>M15+N15</f>
        <v>2750</v>
      </c>
      <c r="P15" s="12"/>
      <c r="Q15" s="13"/>
      <c r="R15" s="646">
        <v>2016.2</v>
      </c>
      <c r="S15" s="63">
        <f>SUM(P15:R15)</f>
        <v>2016.2</v>
      </c>
      <c r="T15" s="66">
        <v>111.938</v>
      </c>
      <c r="U15" s="14">
        <f>S15+T15</f>
        <v>2128.1379999999999</v>
      </c>
      <c r="V15" s="12"/>
      <c r="W15" s="13"/>
      <c r="X15" s="56">
        <v>2400</v>
      </c>
      <c r="Y15" s="63">
        <f>SUM(V15:X15)</f>
        <v>2400</v>
      </c>
      <c r="Z15" s="66">
        <v>345</v>
      </c>
      <c r="AA15" s="14">
        <f>Y15+Z15</f>
        <v>2745</v>
      </c>
      <c r="AB15" s="145">
        <f>(AA15/O15)</f>
        <v>0.99818181818181817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714.9</v>
      </c>
      <c r="E16" s="16"/>
      <c r="F16" s="16"/>
      <c r="G16" s="64">
        <f>SUM(D16:F16)</f>
        <v>714.9</v>
      </c>
      <c r="H16" s="67"/>
      <c r="I16" s="14">
        <f>G16+H16</f>
        <v>714.9</v>
      </c>
      <c r="J16" s="683">
        <v>1810</v>
      </c>
      <c r="K16" s="674"/>
      <c r="L16" s="674"/>
      <c r="M16" s="672">
        <f>SUM(J16:L16)</f>
        <v>1810</v>
      </c>
      <c r="N16" s="682"/>
      <c r="O16" s="621">
        <f>M16+N16</f>
        <v>1810</v>
      </c>
      <c r="P16" s="57">
        <v>905.2</v>
      </c>
      <c r="Q16" s="645"/>
      <c r="R16" s="16"/>
      <c r="S16" s="64">
        <f>SUM(P16:R16)</f>
        <v>905.2</v>
      </c>
      <c r="T16" s="67"/>
      <c r="U16" s="14">
        <f>S16+T16</f>
        <v>905.2</v>
      </c>
      <c r="V16" s="57">
        <v>1810</v>
      </c>
      <c r="W16" s="16"/>
      <c r="X16" s="16"/>
      <c r="Y16" s="64">
        <f>SUM(V16:X16)</f>
        <v>1810</v>
      </c>
      <c r="Z16" s="67"/>
      <c r="AA16" s="14">
        <f>Y16+Z16</f>
        <v>1810</v>
      </c>
      <c r="AB16" s="145">
        <f>(AA16/O16)</f>
        <v>1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183.2</v>
      </c>
      <c r="E17" s="17"/>
      <c r="F17" s="17"/>
      <c r="G17" s="64">
        <f>SUM(D17:F17)</f>
        <v>183.2</v>
      </c>
      <c r="H17" s="68"/>
      <c r="I17" s="14">
        <f>G17+H17</f>
        <v>183.2</v>
      </c>
      <c r="J17" s="421">
        <v>183</v>
      </c>
      <c r="K17" s="677"/>
      <c r="L17" s="677"/>
      <c r="M17" s="672">
        <f>SUM(J17:L17)</f>
        <v>183</v>
      </c>
      <c r="N17" s="681"/>
      <c r="O17" s="621">
        <f>M17+N17</f>
        <v>183</v>
      </c>
      <c r="P17" s="58">
        <v>183</v>
      </c>
      <c r="Q17" s="17"/>
      <c r="R17" s="17"/>
      <c r="S17" s="64">
        <f>SUM(P17:R17)</f>
        <v>183</v>
      </c>
      <c r="T17" s="68"/>
      <c r="U17" s="14">
        <f>S17+T17</f>
        <v>183</v>
      </c>
      <c r="V17" s="58">
        <v>137</v>
      </c>
      <c r="W17" s="17"/>
      <c r="X17" s="17"/>
      <c r="Y17" s="64">
        <f>SUM(V17:X17)</f>
        <v>137</v>
      </c>
      <c r="Z17" s="68"/>
      <c r="AA17" s="14">
        <f>Y17+Z17</f>
        <v>137</v>
      </c>
      <c r="AB17" s="145">
        <f>(AA17/O17)</f>
        <v>0.74863387978142082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11522.57</v>
      </c>
      <c r="F18" s="17"/>
      <c r="G18" s="64">
        <f>SUM(D18:F18)</f>
        <v>11522.57</v>
      </c>
      <c r="H18" s="66"/>
      <c r="I18" s="14">
        <f>G18+H18</f>
        <v>11522.57</v>
      </c>
      <c r="J18" s="675"/>
      <c r="K18" s="680">
        <v>10349.6</v>
      </c>
      <c r="L18" s="677"/>
      <c r="M18" s="672">
        <f>SUM(J18:L18)</f>
        <v>10349.6</v>
      </c>
      <c r="N18" s="679"/>
      <c r="O18" s="621">
        <f>M18+N18</f>
        <v>10349.6</v>
      </c>
      <c r="P18" s="18"/>
      <c r="Q18" s="59">
        <f>5544+123.5+764.542</f>
        <v>6432.0420000000004</v>
      </c>
      <c r="R18" s="17"/>
      <c r="S18" s="64">
        <f>SUM(P18:R18)</f>
        <v>6432.0420000000004</v>
      </c>
      <c r="T18" s="66"/>
      <c r="U18" s="14">
        <f>S18+T18</f>
        <v>6432.0420000000004</v>
      </c>
      <c r="V18" s="18"/>
      <c r="W18" s="59">
        <f>11087.308+125</f>
        <v>11212.308000000001</v>
      </c>
      <c r="X18" s="17"/>
      <c r="Y18" s="64">
        <f>SUM(V18:X18)</f>
        <v>11212.308000000001</v>
      </c>
      <c r="Z18" s="66"/>
      <c r="AA18" s="14">
        <f>Y18+Z18</f>
        <v>11212.308000000001</v>
      </c>
      <c r="AB18" s="145">
        <f>(AA18/O18)</f>
        <v>1.083356651464791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348.7</v>
      </c>
      <c r="G19" s="64">
        <f>SUM(D19:F19)</f>
        <v>348.7</v>
      </c>
      <c r="H19" s="69"/>
      <c r="I19" s="14">
        <f>G19+H19</f>
        <v>348.7</v>
      </c>
      <c r="J19" s="678"/>
      <c r="K19" s="677"/>
      <c r="L19" s="415">
        <v>347</v>
      </c>
      <c r="M19" s="672">
        <f>SUM(J19:L19)</f>
        <v>347</v>
      </c>
      <c r="N19" s="676"/>
      <c r="O19" s="621">
        <f>M19+N19</f>
        <v>347</v>
      </c>
      <c r="P19" s="19"/>
      <c r="Q19" s="17"/>
      <c r="R19" s="60">
        <f>17.359+50.544+6.604+12.582+37+13.375+36.018+5.016</f>
        <v>178.49799999999999</v>
      </c>
      <c r="S19" s="64">
        <f>SUM(P19:R19)</f>
        <v>178.49799999999999</v>
      </c>
      <c r="T19" s="69"/>
      <c r="U19" s="14">
        <f>S19+T19</f>
        <v>178.49799999999999</v>
      </c>
      <c r="V19" s="19"/>
      <c r="W19" s="17"/>
      <c r="X19" s="60">
        <v>347</v>
      </c>
      <c r="Y19" s="64">
        <f>SUM(V19:X19)</f>
        <v>347</v>
      </c>
      <c r="Z19" s="69"/>
      <c r="AA19" s="14">
        <f>Y19+Z19</f>
        <v>347</v>
      </c>
      <c r="AB19" s="145">
        <f>(AA19/O19)</f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>
        <f>SUM(D20:F20)</f>
        <v>0</v>
      </c>
      <c r="H20" s="69"/>
      <c r="I20" s="14">
        <f>G20+H20</f>
        <v>0</v>
      </c>
      <c r="J20" s="675"/>
      <c r="K20" s="674"/>
      <c r="L20" s="673">
        <v>30</v>
      </c>
      <c r="M20" s="672">
        <f>SUM(J20:L20)</f>
        <v>30</v>
      </c>
      <c r="N20" s="676"/>
      <c r="O20" s="621">
        <f>M20+N20</f>
        <v>30</v>
      </c>
      <c r="P20" s="18"/>
      <c r="Q20" s="16"/>
      <c r="R20" s="61"/>
      <c r="S20" s="64">
        <f>SUM(P20:R20)</f>
        <v>0</v>
      </c>
      <c r="T20" s="69"/>
      <c r="U20" s="14">
        <f>S20+T20</f>
        <v>0</v>
      </c>
      <c r="V20" s="18"/>
      <c r="W20" s="16"/>
      <c r="X20" s="61">
        <v>30</v>
      </c>
      <c r="Y20" s="64">
        <f>SUM(V20:X20)</f>
        <v>30</v>
      </c>
      <c r="Z20" s="69"/>
      <c r="AA20" s="14">
        <f>Y20+Z20</f>
        <v>30</v>
      </c>
      <c r="AB20" s="145">
        <f>(AA20/O20)</f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f>78.76+252.39</f>
        <v>331.15</v>
      </c>
      <c r="G21" s="64">
        <f>SUM(D21:F21)</f>
        <v>331.15</v>
      </c>
      <c r="H21" s="70">
        <v>2.5</v>
      </c>
      <c r="I21" s="14">
        <f>G21+H21</f>
        <v>333.65</v>
      </c>
      <c r="J21" s="675"/>
      <c r="K21" s="674"/>
      <c r="L21" s="673">
        <v>170</v>
      </c>
      <c r="M21" s="672">
        <f>SUM(J21:L21)</f>
        <v>170</v>
      </c>
      <c r="N21" s="671"/>
      <c r="O21" s="621">
        <f>M21+N21</f>
        <v>170</v>
      </c>
      <c r="P21" s="18"/>
      <c r="Q21" s="16"/>
      <c r="R21" s="61">
        <f>36.559+141.695</f>
        <v>178.25399999999999</v>
      </c>
      <c r="S21" s="64">
        <f>SUM(P21:R21)</f>
        <v>178.25399999999999</v>
      </c>
      <c r="T21" s="70">
        <v>2.5</v>
      </c>
      <c r="U21" s="14">
        <f>S21+T21</f>
        <v>180.75399999999999</v>
      </c>
      <c r="V21" s="18"/>
      <c r="W21" s="16"/>
      <c r="X21" s="61">
        <v>170</v>
      </c>
      <c r="Y21" s="64">
        <f>SUM(V21:X21)</f>
        <v>170</v>
      </c>
      <c r="Z21" s="70">
        <v>5</v>
      </c>
      <c r="AA21" s="14">
        <f>Y21+Z21</f>
        <v>175</v>
      </c>
      <c r="AB21" s="145">
        <f>(AA21/O21)</f>
        <v>1.0294117647058822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/>
      <c r="I22" s="14">
        <f>G22+H22</f>
        <v>0</v>
      </c>
      <c r="J22" s="675"/>
      <c r="K22" s="674"/>
      <c r="L22" s="673"/>
      <c r="M22" s="672">
        <f>SUM(J22:L22)</f>
        <v>0</v>
      </c>
      <c r="N22" s="671"/>
      <c r="O22" s="621">
        <f>M22+N22</f>
        <v>0</v>
      </c>
      <c r="P22" s="18"/>
      <c r="Q22" s="16"/>
      <c r="R22" s="61"/>
      <c r="S22" s="64">
        <f>SUM(P22:R22)</f>
        <v>0</v>
      </c>
      <c r="T22" s="70"/>
      <c r="U22" s="14">
        <f>S22+T22</f>
        <v>0</v>
      </c>
      <c r="V22" s="18"/>
      <c r="W22" s="16"/>
      <c r="X22" s="61"/>
      <c r="Y22" s="64">
        <f>SUM(V22:X22)</f>
        <v>0</v>
      </c>
      <c r="Z22" s="70"/>
      <c r="AA22" s="14">
        <f>Y22+Z22</f>
        <v>0</v>
      </c>
      <c r="AB22" s="145" t="e">
        <f>(AA22/O22)</f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>SUM(D23:F23)</f>
        <v>0</v>
      </c>
      <c r="H23" s="71"/>
      <c r="I23" s="23">
        <f>G23+H23</f>
        <v>0</v>
      </c>
      <c r="J23" s="670"/>
      <c r="K23" s="669"/>
      <c r="L23" s="668"/>
      <c r="M23" s="667">
        <f>SUM(J23:L23)</f>
        <v>0</v>
      </c>
      <c r="N23" s="666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148" t="e">
        <f>(AA23/O23)</f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898.09999999999991</v>
      </c>
      <c r="E24" s="27">
        <f>SUM(E15:E21)</f>
        <v>11522.57</v>
      </c>
      <c r="F24" s="27">
        <f>SUM(F15:F21)</f>
        <v>3208.37</v>
      </c>
      <c r="G24" s="28">
        <f>SUM(D24:F24)</f>
        <v>15629.04</v>
      </c>
      <c r="H24" s="29">
        <f>SUM(H15:H21)</f>
        <v>240.99</v>
      </c>
      <c r="I24" s="29">
        <f>SUM(I15:I21)</f>
        <v>15870.03</v>
      </c>
      <c r="J24" s="665">
        <f>SUM(J15:J21)</f>
        <v>1993</v>
      </c>
      <c r="K24" s="664">
        <f>SUM(K15:K21)</f>
        <v>10349.6</v>
      </c>
      <c r="L24" s="664">
        <f>SUM(L15:L21)</f>
        <v>2947</v>
      </c>
      <c r="M24" s="663">
        <f>SUM(J24:L24)</f>
        <v>15289.6</v>
      </c>
      <c r="N24" s="644">
        <f>SUM(N15:N21)</f>
        <v>350</v>
      </c>
      <c r="O24" s="644">
        <f>SUM(O15:O21)</f>
        <v>15639.6</v>
      </c>
      <c r="P24" s="26">
        <f>SUM(P15:P21)</f>
        <v>1088.2</v>
      </c>
      <c r="Q24" s="27">
        <f>SUM(Q15:Q21)</f>
        <v>6432.0420000000004</v>
      </c>
      <c r="R24" s="27">
        <f>SUM(R15:R21)</f>
        <v>2372.9519999999998</v>
      </c>
      <c r="S24" s="28">
        <f>SUM(P24:R24)</f>
        <v>9893.1939999999995</v>
      </c>
      <c r="T24" s="29">
        <f>SUM(T15:T21)</f>
        <v>114.438</v>
      </c>
      <c r="U24" s="29">
        <f>SUM(U15:U21)</f>
        <v>10007.632000000001</v>
      </c>
      <c r="V24" s="26">
        <f>SUM(V15:V21)</f>
        <v>1947</v>
      </c>
      <c r="W24" s="27">
        <f>SUM(W15:W21)</f>
        <v>11212.308000000001</v>
      </c>
      <c r="X24" s="27">
        <f>SUM(X15:X21)</f>
        <v>2947</v>
      </c>
      <c r="Y24" s="28">
        <f>SUM(V24:X24)</f>
        <v>16106.308000000001</v>
      </c>
      <c r="Z24" s="29">
        <f>SUM(Z15:Z21)</f>
        <v>350</v>
      </c>
      <c r="AA24" s="29">
        <f>SUM(AA15:AA21)</f>
        <v>16456.308000000001</v>
      </c>
      <c r="AB24" s="149">
        <f>(AA24/O24)</f>
        <v>1.0522205171487762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198" t="s">
        <v>112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199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20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/>
      <c r="E28" s="72"/>
      <c r="F28" s="72">
        <v>445.04300000000001</v>
      </c>
      <c r="G28" s="73">
        <f>SUM(D28:F28)</f>
        <v>445.04300000000001</v>
      </c>
      <c r="H28" s="73">
        <v>160.95599999999999</v>
      </c>
      <c r="I28" s="37">
        <f>G28+H28</f>
        <v>605.99900000000002</v>
      </c>
      <c r="J28" s="662"/>
      <c r="K28" s="661"/>
      <c r="L28" s="661">
        <v>500</v>
      </c>
      <c r="M28" s="660">
        <f>SUM(J28:L28)</f>
        <v>500</v>
      </c>
      <c r="N28" s="660">
        <v>300</v>
      </c>
      <c r="O28" s="624">
        <f>M28+N28</f>
        <v>800</v>
      </c>
      <c r="P28" s="80"/>
      <c r="Q28" s="72">
        <v>134.37</v>
      </c>
      <c r="R28" s="72">
        <v>36.299999999999997</v>
      </c>
      <c r="S28" s="73">
        <f>SUM(P28:R28)</f>
        <v>170.67000000000002</v>
      </c>
      <c r="T28" s="73"/>
      <c r="U28" s="37">
        <f>S28+T28</f>
        <v>170.67000000000002</v>
      </c>
      <c r="V28" s="80"/>
      <c r="W28" s="72"/>
      <c r="X28" s="72">
        <v>500</v>
      </c>
      <c r="Y28" s="73">
        <f>SUM(V28:X28)</f>
        <v>500</v>
      </c>
      <c r="Z28" s="73">
        <v>300</v>
      </c>
      <c r="AA28" s="37">
        <f>Y28+Z28</f>
        <v>800</v>
      </c>
      <c r="AB28" s="145">
        <f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26.6</v>
      </c>
      <c r="E29" s="74">
        <f>39.798+28.798+287.945+66.035</f>
        <v>422.57600000000002</v>
      </c>
      <c r="F29" s="74">
        <v>552.45000000000005</v>
      </c>
      <c r="G29" s="75">
        <f>SUM(D29:F29)</f>
        <v>1001.6260000000001</v>
      </c>
      <c r="H29" s="76"/>
      <c r="I29" s="14">
        <f>G29+H29</f>
        <v>1001.6260000000001</v>
      </c>
      <c r="J29" s="659">
        <v>34</v>
      </c>
      <c r="K29" s="658"/>
      <c r="L29" s="658">
        <v>500</v>
      </c>
      <c r="M29" s="654">
        <f>SUM(J29:L29)</f>
        <v>534</v>
      </c>
      <c r="N29" s="657"/>
      <c r="O29" s="621">
        <f>M29+N29</f>
        <v>534</v>
      </c>
      <c r="P29" s="81">
        <v>12</v>
      </c>
      <c r="Q29" s="74">
        <v>46.463000000000001</v>
      </c>
      <c r="R29" s="74">
        <v>265.45</v>
      </c>
      <c r="S29" s="75">
        <f>SUM(P29:R29)</f>
        <v>323.91300000000001</v>
      </c>
      <c r="T29" s="76"/>
      <c r="U29" s="14">
        <f>S29+T29</f>
        <v>323.91300000000001</v>
      </c>
      <c r="V29" s="81"/>
      <c r="W29" s="74">
        <v>50</v>
      </c>
      <c r="X29" s="74">
        <v>500</v>
      </c>
      <c r="Y29" s="75">
        <f>SUM(V29:X29)</f>
        <v>550</v>
      </c>
      <c r="Z29" s="76"/>
      <c r="AA29" s="14">
        <f>Y29+Z29</f>
        <v>550</v>
      </c>
      <c r="AB29" s="145">
        <f>(AA29/O29)</f>
        <v>1.0299625468164795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301.3</v>
      </c>
      <c r="E30" s="77"/>
      <c r="F30" s="77">
        <v>422.82</v>
      </c>
      <c r="G30" s="75">
        <f>SUM(D30:F30)</f>
        <v>724.12</v>
      </c>
      <c r="H30" s="75">
        <v>69.400000000000006</v>
      </c>
      <c r="I30" s="14">
        <f>G30+H30</f>
        <v>793.52</v>
      </c>
      <c r="J30" s="656">
        <v>1100</v>
      </c>
      <c r="K30" s="486"/>
      <c r="L30" s="655">
        <v>250</v>
      </c>
      <c r="M30" s="654">
        <f>SUM(J30:L30)</f>
        <v>1350</v>
      </c>
      <c r="N30" s="654">
        <v>50</v>
      </c>
      <c r="O30" s="621">
        <f>M30+N30</f>
        <v>1400</v>
      </c>
      <c r="P30" s="82">
        <v>573.70000000000005</v>
      </c>
      <c r="Q30" s="77"/>
      <c r="R30" s="77"/>
      <c r="S30" s="75">
        <f>SUM(P30:R30)</f>
        <v>573.70000000000005</v>
      </c>
      <c r="T30" s="75">
        <v>8.3179999999999996</v>
      </c>
      <c r="U30" s="14">
        <f>S30+T30</f>
        <v>582.01800000000003</v>
      </c>
      <c r="V30" s="82">
        <v>1100</v>
      </c>
      <c r="W30" s="77"/>
      <c r="X30" s="77">
        <v>250</v>
      </c>
      <c r="Y30" s="75">
        <f>SUM(V30:X30)</f>
        <v>1350</v>
      </c>
      <c r="Z30" s="75">
        <v>50</v>
      </c>
      <c r="AA30" s="14">
        <f>Y30+Z30</f>
        <v>1400</v>
      </c>
      <c r="AB30" s="145">
        <f>(AA30/O30)</f>
        <v>1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215.9</v>
      </c>
      <c r="E31" s="77">
        <f>218.272+22.832</f>
        <v>241.10399999999998</v>
      </c>
      <c r="F31" s="77">
        <v>777.1</v>
      </c>
      <c r="G31" s="75">
        <f>SUM(D31:F31)</f>
        <v>1234.104</v>
      </c>
      <c r="H31" s="75"/>
      <c r="I31" s="14">
        <f>G31+H31</f>
        <v>1234.104</v>
      </c>
      <c r="J31" s="656">
        <v>504.7</v>
      </c>
      <c r="K31" s="655"/>
      <c r="L31" s="655">
        <v>350</v>
      </c>
      <c r="M31" s="654">
        <f>SUM(J31:L31)</f>
        <v>854.7</v>
      </c>
      <c r="N31" s="654"/>
      <c r="O31" s="621">
        <f>M31+N31</f>
        <v>854.7</v>
      </c>
      <c r="P31" s="82">
        <v>557.9</v>
      </c>
      <c r="Q31" s="77">
        <f>24.687+129.981</f>
        <v>154.66800000000001</v>
      </c>
      <c r="R31" s="77">
        <v>166.42599999999999</v>
      </c>
      <c r="S31" s="75">
        <f>SUM(P31:R31)</f>
        <v>878.99399999999991</v>
      </c>
      <c r="T31" s="75"/>
      <c r="U31" s="14">
        <f>S31+T31</f>
        <v>878.99399999999991</v>
      </c>
      <c r="V31" s="82">
        <v>504.7</v>
      </c>
      <c r="W31" s="77">
        <v>25</v>
      </c>
      <c r="X31" s="77">
        <v>350</v>
      </c>
      <c r="Y31" s="75">
        <f>SUM(V31:X31)</f>
        <v>879.7</v>
      </c>
      <c r="Z31" s="75"/>
      <c r="AA31" s="14">
        <f>Y31+Z31</f>
        <v>879.7</v>
      </c>
      <c r="AB31" s="145">
        <f>(AA31/O31)</f>
        <v>1.0292500292500293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112</v>
      </c>
      <c r="E32" s="77">
        <f>SUM(E33:E34)</f>
        <v>7930.1530000000002</v>
      </c>
      <c r="F32" s="77">
        <f>SUM(F33:F34)</f>
        <v>161.34299999999999</v>
      </c>
      <c r="G32" s="75">
        <f>SUM(D32:F32)</f>
        <v>8203.496000000001</v>
      </c>
      <c r="H32" s="75"/>
      <c r="I32" s="14">
        <f>G32+H32</f>
        <v>8203.496000000001</v>
      </c>
      <c r="J32" s="656">
        <v>112</v>
      </c>
      <c r="K32" s="655">
        <v>7616.9</v>
      </c>
      <c r="L32" s="655">
        <v>250</v>
      </c>
      <c r="M32" s="654">
        <f>SUM(J32:L32)</f>
        <v>7978.9</v>
      </c>
      <c r="N32" s="654"/>
      <c r="O32" s="621">
        <f>M32+N32</f>
        <v>7978.9</v>
      </c>
      <c r="P32" s="83">
        <v>101</v>
      </c>
      <c r="Q32" s="77">
        <v>4146.49</v>
      </c>
      <c r="R32" s="77">
        <f>SUM(R33:R34)</f>
        <v>6</v>
      </c>
      <c r="S32" s="75">
        <f>SUM(P32:R32)</f>
        <v>4253.49</v>
      </c>
      <c r="T32" s="75"/>
      <c r="U32" s="14">
        <f>S32+T32</f>
        <v>4253.49</v>
      </c>
      <c r="V32" s="83">
        <v>101</v>
      </c>
      <c r="W32" s="77">
        <f>SUM(W33:W34)</f>
        <v>8267.4959999999992</v>
      </c>
      <c r="X32" s="77">
        <v>250</v>
      </c>
      <c r="Y32" s="75">
        <f>SUM(V32:X32)</f>
        <v>8618.4959999999992</v>
      </c>
      <c r="Z32" s="75"/>
      <c r="AA32" s="14">
        <f>Y32+Z32</f>
        <v>8618.4959999999992</v>
      </c>
      <c r="AB32" s="145">
        <f>(AA32/O32)</f>
        <v>1.0801609244382058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100</v>
      </c>
      <c r="E33" s="77">
        <f>7092.453+29.23</f>
        <v>7121.683</v>
      </c>
      <c r="F33" s="77">
        <v>122.72</v>
      </c>
      <c r="G33" s="75">
        <f>SUM(D33:F33)</f>
        <v>7344.4030000000002</v>
      </c>
      <c r="H33" s="75"/>
      <c r="I33" s="14">
        <f>G33+H33</f>
        <v>7344.4030000000002</v>
      </c>
      <c r="J33" s="656">
        <v>100</v>
      </c>
      <c r="K33" s="655">
        <v>7166.9</v>
      </c>
      <c r="L33" s="655">
        <v>150</v>
      </c>
      <c r="M33" s="654">
        <f>SUM(J33:L33)</f>
        <v>7416.9</v>
      </c>
      <c r="N33" s="654"/>
      <c r="O33" s="621">
        <f>M33+N33</f>
        <v>7416.9</v>
      </c>
      <c r="P33" s="83">
        <v>101</v>
      </c>
      <c r="Q33" s="77">
        <v>3775.9940000000001</v>
      </c>
      <c r="R33" s="77"/>
      <c r="S33" s="75">
        <f>SUM(P33:R33)</f>
        <v>3876.9940000000001</v>
      </c>
      <c r="T33" s="75"/>
      <c r="U33" s="14">
        <f>S33+T33</f>
        <v>3876.9940000000001</v>
      </c>
      <c r="V33" s="83">
        <v>101</v>
      </c>
      <c r="W33" s="77">
        <v>7767.4960000000001</v>
      </c>
      <c r="X33" s="77">
        <v>150</v>
      </c>
      <c r="Y33" s="75">
        <f>SUM(V33:X33)</f>
        <v>8018.4960000000001</v>
      </c>
      <c r="Z33" s="75"/>
      <c r="AA33" s="14">
        <f>Y33+Z33</f>
        <v>8018.4960000000001</v>
      </c>
      <c r="AB33" s="145">
        <f>(AA33/O33)</f>
        <v>1.081111515592768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>
        <v>12</v>
      </c>
      <c r="E34" s="77">
        <f>46.42+550+212.05</f>
        <v>808.47</v>
      </c>
      <c r="F34" s="77">
        <f>18.425+20.598-0.4</f>
        <v>38.622999999999998</v>
      </c>
      <c r="G34" s="75">
        <f>SUM(D34:F34)</f>
        <v>859.09300000000007</v>
      </c>
      <c r="H34" s="75"/>
      <c r="I34" s="14">
        <f>G34+H34</f>
        <v>859.09300000000007</v>
      </c>
      <c r="J34" s="656">
        <v>12</v>
      </c>
      <c r="K34" s="655">
        <v>450</v>
      </c>
      <c r="L34" s="655">
        <v>100</v>
      </c>
      <c r="M34" s="654">
        <f>SUM(J34:L34)</f>
        <v>562</v>
      </c>
      <c r="N34" s="654"/>
      <c r="O34" s="621">
        <f>M34+N34</f>
        <v>562</v>
      </c>
      <c r="P34" s="83"/>
      <c r="Q34" s="77">
        <v>370.49599999999998</v>
      </c>
      <c r="R34" s="77">
        <v>6</v>
      </c>
      <c r="S34" s="75">
        <f>SUM(P34:R34)</f>
        <v>376.49599999999998</v>
      </c>
      <c r="T34" s="75"/>
      <c r="U34" s="14">
        <f>S34+T34</f>
        <v>376.49599999999998</v>
      </c>
      <c r="V34" s="83"/>
      <c r="W34" s="77">
        <f>450+50</f>
        <v>500</v>
      </c>
      <c r="X34" s="77">
        <v>100</v>
      </c>
      <c r="Y34" s="75">
        <f>SUM(V34:X34)</f>
        <v>600</v>
      </c>
      <c r="Z34" s="75"/>
      <c r="AA34" s="14">
        <f>Y34+Z34</f>
        <v>600</v>
      </c>
      <c r="AB34" s="145">
        <f>(AA34/O34)</f>
        <v>1.0676156583629892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35</v>
      </c>
      <c r="E35" s="77">
        <f>2409.63+21.634+68.9</f>
        <v>2500.1640000000002</v>
      </c>
      <c r="F35" s="77">
        <f>41.48+2.2</f>
        <v>43.68</v>
      </c>
      <c r="G35" s="75">
        <f>SUM(D35:F35)</f>
        <v>2578.8440000000001</v>
      </c>
      <c r="H35" s="75"/>
      <c r="I35" s="14">
        <f>G35+H35</f>
        <v>2578.8440000000001</v>
      </c>
      <c r="J35" s="656">
        <v>37</v>
      </c>
      <c r="K35" s="655">
        <v>2560</v>
      </c>
      <c r="L35" s="655">
        <v>54</v>
      </c>
      <c r="M35" s="654">
        <f>SUM(J35:L35)</f>
        <v>2651</v>
      </c>
      <c r="N35" s="654"/>
      <c r="O35" s="621">
        <f>M35+N35</f>
        <v>2651</v>
      </c>
      <c r="P35" s="83">
        <v>34.130000000000003</v>
      </c>
      <c r="Q35" s="77">
        <f>1276.694+8.829</f>
        <v>1285.5229999999999</v>
      </c>
      <c r="R35" s="77"/>
      <c r="S35" s="75">
        <f>SUM(P35:R35)</f>
        <v>1319.653</v>
      </c>
      <c r="T35" s="75"/>
      <c r="U35" s="14">
        <f>S35+T35</f>
        <v>1319.653</v>
      </c>
      <c r="V35" s="83">
        <v>35</v>
      </c>
      <c r="W35" s="77">
        <v>2777.5140000000001</v>
      </c>
      <c r="X35" s="77">
        <v>54</v>
      </c>
      <c r="Y35" s="75">
        <f>SUM(V35:X35)</f>
        <v>2866.5140000000001</v>
      </c>
      <c r="Z35" s="75"/>
      <c r="AA35" s="14">
        <f>Y35+Z35</f>
        <v>2866.5140000000001</v>
      </c>
      <c r="AB35" s="145">
        <f>(AA35/O35)</f>
        <v>1.0812953602414184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>SUM(D36:F36)</f>
        <v>0</v>
      </c>
      <c r="H36" s="75"/>
      <c r="I36" s="14">
        <f>G36+H36</f>
        <v>0</v>
      </c>
      <c r="J36" s="656"/>
      <c r="K36" s="655"/>
      <c r="L36" s="655">
        <v>10</v>
      </c>
      <c r="M36" s="654">
        <f>SUM(J36:L36)</f>
        <v>10</v>
      </c>
      <c r="N36" s="654"/>
      <c r="O36" s="621">
        <f>M36+N36</f>
        <v>10</v>
      </c>
      <c r="P36" s="82"/>
      <c r="Q36" s="77"/>
      <c r="R36" s="77"/>
      <c r="S36" s="75">
        <f>SUM(P36:R36)</f>
        <v>0</v>
      </c>
      <c r="T36" s="75"/>
      <c r="U36" s="14">
        <f>S36+T36</f>
        <v>0</v>
      </c>
      <c r="V36" s="82"/>
      <c r="W36" s="77"/>
      <c r="X36" s="77">
        <v>10</v>
      </c>
      <c r="Y36" s="75">
        <f>SUM(V36:X36)</f>
        <v>10</v>
      </c>
      <c r="Z36" s="75"/>
      <c r="AA36" s="14">
        <f>Y36+Z36</f>
        <v>10</v>
      </c>
      <c r="AB36" s="145">
        <f>(AA36/O36)</f>
        <v>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205.33199999999999</v>
      </c>
      <c r="E37" s="77"/>
      <c r="F37" s="77">
        <v>439.339</v>
      </c>
      <c r="G37" s="75">
        <f>SUM(D37:F37)</f>
        <v>644.67100000000005</v>
      </c>
      <c r="H37" s="75"/>
      <c r="I37" s="14">
        <f>G37+H37</f>
        <v>644.67100000000005</v>
      </c>
      <c r="J37" s="656">
        <v>205.3</v>
      </c>
      <c r="K37" s="655"/>
      <c r="L37" s="655">
        <v>437.6</v>
      </c>
      <c r="M37" s="654">
        <f>SUM(J37:L37)</f>
        <v>642.90000000000009</v>
      </c>
      <c r="N37" s="654"/>
      <c r="O37" s="621">
        <f>M37+N37</f>
        <v>642.90000000000009</v>
      </c>
      <c r="P37" s="82">
        <v>102.666</v>
      </c>
      <c r="Q37" s="77"/>
      <c r="R37" s="77">
        <v>226.3</v>
      </c>
      <c r="S37" s="75">
        <f>SUM(P37:R37)</f>
        <v>328.96600000000001</v>
      </c>
      <c r="T37" s="75"/>
      <c r="U37" s="14">
        <f>S37+T37</f>
        <v>328.96600000000001</v>
      </c>
      <c r="V37" s="82">
        <v>205.3</v>
      </c>
      <c r="W37" s="77"/>
      <c r="X37" s="77">
        <v>425.6</v>
      </c>
      <c r="Y37" s="75">
        <f>SUM(V37:X37)</f>
        <v>630.90000000000009</v>
      </c>
      <c r="Z37" s="75"/>
      <c r="AA37" s="14">
        <f>Y37+Z37</f>
        <v>630.90000000000009</v>
      </c>
      <c r="AB37" s="145">
        <f>(AA37/O37)</f>
        <v>0.98133457769482035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2</v>
      </c>
      <c r="E38" s="311">
        <f>7.14+126.16+0.45+172.149+121.835+0.882</f>
        <v>428.61599999999999</v>
      </c>
      <c r="F38" s="78">
        <v>134.88</v>
      </c>
      <c r="G38" s="75">
        <f>SUM(D38:F38)</f>
        <v>565.49599999999998</v>
      </c>
      <c r="H38" s="79"/>
      <c r="I38" s="23">
        <f>G38+H38</f>
        <v>565.49599999999998</v>
      </c>
      <c r="J38" s="653"/>
      <c r="K38" s="652">
        <v>172.7</v>
      </c>
      <c r="L38" s="652">
        <v>595.4</v>
      </c>
      <c r="M38" s="651">
        <f>SUM(J38:L38)</f>
        <v>768.09999999999991</v>
      </c>
      <c r="N38" s="651"/>
      <c r="O38" s="619">
        <f>M38+N38</f>
        <v>768.09999999999991</v>
      </c>
      <c r="P38" s="84">
        <v>1.01</v>
      </c>
      <c r="Q38" s="78">
        <v>479.44</v>
      </c>
      <c r="R38" s="78">
        <v>123.89</v>
      </c>
      <c r="S38" s="79">
        <f>SUM(P38:R38)</f>
        <v>604.34</v>
      </c>
      <c r="T38" s="79"/>
      <c r="U38" s="23">
        <f>S38+T38</f>
        <v>604.34</v>
      </c>
      <c r="V38" s="84">
        <v>1</v>
      </c>
      <c r="W38" s="78">
        <f>77.675+14.623</f>
        <v>92.298000000000002</v>
      </c>
      <c r="X38" s="78">
        <v>607.4</v>
      </c>
      <c r="Y38" s="79">
        <f>SUM(V38:X38)</f>
        <v>700.69799999999998</v>
      </c>
      <c r="Z38" s="79"/>
      <c r="AA38" s="23">
        <f>Y38+Z38</f>
        <v>700.69799999999998</v>
      </c>
      <c r="AB38" s="148">
        <f>(AA38/O38)</f>
        <v>0.91224840515557881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898.13200000000006</v>
      </c>
      <c r="E39" s="42">
        <f>SUM(E35:E38)+SUM(E28:E32)</f>
        <v>11522.613000000001</v>
      </c>
      <c r="F39" s="42">
        <f>SUM(F35:F38)+SUM(F28:F32)</f>
        <v>2976.6549999999997</v>
      </c>
      <c r="G39" s="144">
        <f>SUM(D39:F39)</f>
        <v>15397.400000000001</v>
      </c>
      <c r="H39" s="43">
        <f>SUM(H28:H32)+SUM(H35:H38)</f>
        <v>230.35599999999999</v>
      </c>
      <c r="I39" s="44">
        <f>SUM(I35:I38)+SUM(I28:I32)</f>
        <v>15627.756000000001</v>
      </c>
      <c r="J39" s="650">
        <f>SUM(J35:J38)+SUM(J28:J32)</f>
        <v>1993</v>
      </c>
      <c r="K39" s="650">
        <f>SUM(K35:K38)+SUM(K28:K32)</f>
        <v>10349.599999999999</v>
      </c>
      <c r="L39" s="650">
        <f>SUM(L35:L38)+SUM(L28:L32)</f>
        <v>2947</v>
      </c>
      <c r="M39" s="649">
        <f>SUM(J39:L39)</f>
        <v>15289.599999999999</v>
      </c>
      <c r="N39" s="648">
        <f>SUM(N28:N32)+SUM(N35:N38)</f>
        <v>350</v>
      </c>
      <c r="O39" s="617">
        <f>SUM(O35:O38)+SUM(O28:O32)</f>
        <v>15639.599999999999</v>
      </c>
      <c r="P39" s="42">
        <f>SUM(P35:P38)+SUM(P28:P32)</f>
        <v>1382.4059999999999</v>
      </c>
      <c r="Q39" s="42">
        <f>SUM(Q35:Q38)+SUM(Q28:Q32)</f>
        <v>6246.9539999999997</v>
      </c>
      <c r="R39" s="42">
        <f>SUM(R35:R38)+SUM(R28:R32)</f>
        <v>824.36599999999999</v>
      </c>
      <c r="S39" s="144">
        <f>SUM(P39:R39)</f>
        <v>8453.7259999999987</v>
      </c>
      <c r="T39" s="43">
        <f>SUM(T28:T32)+SUM(T35:T38)</f>
        <v>8.3179999999999996</v>
      </c>
      <c r="U39" s="44">
        <f>SUM(U35:U38)+SUM(U28:U32)</f>
        <v>8462.0439999999999</v>
      </c>
      <c r="V39" s="42">
        <f>SUM(V35:V38)+SUM(V28:V32)</f>
        <v>1947</v>
      </c>
      <c r="W39" s="42">
        <f>SUM(W35:W38)+SUM(W28:W32)</f>
        <v>11212.307999999999</v>
      </c>
      <c r="X39" s="42">
        <f>SUM(X35:X38)+SUM(X28:X32)</f>
        <v>2947</v>
      </c>
      <c r="Y39" s="144">
        <f>SUM(V39:X39)</f>
        <v>16106.307999999999</v>
      </c>
      <c r="Z39" s="43">
        <f>SUM(Z28:Z32)+SUM(Z35:Z38)</f>
        <v>350</v>
      </c>
      <c r="AA39" s="44">
        <f>SUM(AA35:AA38)+SUM(AA28:AA32)</f>
        <v>16456.308000000001</v>
      </c>
      <c r="AB39" s="150">
        <f>(AA39/O39)</f>
        <v>1.0522205171487764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-3.2000000000152795E-2</v>
      </c>
      <c r="E40" s="109">
        <f>E24-E39</f>
        <v>-4.3000000001484295E-2</v>
      </c>
      <c r="F40" s="109">
        <f>F24-F39</f>
        <v>231.71500000000015</v>
      </c>
      <c r="G40" s="118">
        <f>G24-G39</f>
        <v>231.63999999999942</v>
      </c>
      <c r="H40" s="118">
        <f>H24-H39</f>
        <v>10.634000000000015</v>
      </c>
      <c r="I40" s="119">
        <f>I24-I39</f>
        <v>242.27399999999943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0</v>
      </c>
      <c r="O40" s="614">
        <f>O24-O39</f>
        <v>0</v>
      </c>
      <c r="P40" s="109">
        <f>P24-P39</f>
        <v>-294.2059999999999</v>
      </c>
      <c r="Q40" s="109">
        <f>Q24-Q39</f>
        <v>185.08800000000065</v>
      </c>
      <c r="R40" s="109">
        <f>R24-R39</f>
        <v>1548.5859999999998</v>
      </c>
      <c r="S40" s="118">
        <f>S24-S39</f>
        <v>1439.4680000000008</v>
      </c>
      <c r="T40" s="118">
        <f>T24-T39</f>
        <v>106.12</v>
      </c>
      <c r="U40" s="119">
        <f>U24-U39</f>
        <v>1545.5880000000016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151" t="e">
        <f>(AA40/O40)</f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-472.62600000000054</v>
      </c>
      <c r="J41" s="112"/>
      <c r="K41" s="113"/>
      <c r="L41" s="113"/>
      <c r="M41" s="114"/>
      <c r="N41" s="117"/>
      <c r="O41" s="116">
        <f>O40-J16</f>
        <v>-1810</v>
      </c>
      <c r="P41" s="112"/>
      <c r="Q41" s="113"/>
      <c r="R41" s="113"/>
      <c r="S41" s="114"/>
      <c r="T41" s="117"/>
      <c r="U41" s="116">
        <f>U40-P16</f>
        <v>640.38800000000151</v>
      </c>
      <c r="V41" s="112"/>
      <c r="W41" s="113"/>
      <c r="X41" s="113"/>
      <c r="Y41" s="114"/>
      <c r="Z41" s="117"/>
      <c r="AA41" s="116">
        <f>AA40-V16</f>
        <v>-1810</v>
      </c>
      <c r="AB41" s="145">
        <f>(AA41/O41)</f>
        <v>1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205.3</v>
      </c>
      <c r="E44" s="104">
        <v>205.3</v>
      </c>
      <c r="F44" s="105">
        <v>0</v>
      </c>
      <c r="G44" s="49"/>
      <c r="H44" s="49"/>
      <c r="I44" s="50"/>
      <c r="J44" s="94">
        <v>205.3</v>
      </c>
      <c r="K44" s="104">
        <v>205.3</v>
      </c>
      <c r="L44" s="105">
        <v>0</v>
      </c>
      <c r="M44" s="93"/>
      <c r="N44" s="93"/>
      <c r="O44" s="93"/>
      <c r="P44" s="94">
        <v>0</v>
      </c>
      <c r="Q44" s="104">
        <v>0</v>
      </c>
      <c r="R44" s="105">
        <v>0</v>
      </c>
      <c r="S44" s="4"/>
      <c r="T44" s="4"/>
      <c r="U44" s="4"/>
      <c r="V44" s="94">
        <v>205.3</v>
      </c>
      <c r="W44" s="104">
        <v>205.3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1749.1100000000001</v>
      </c>
      <c r="E50" s="85">
        <f>SUM(E51:E54)</f>
        <v>4223.8</v>
      </c>
      <c r="F50" s="85">
        <f>SUM(F51:F54)</f>
        <v>1373.6100000000001</v>
      </c>
      <c r="G50" s="85">
        <f>SUM(G51:G54)</f>
        <v>4599.2999999999993</v>
      </c>
      <c r="H50" s="49"/>
      <c r="I50" s="4"/>
      <c r="J50" s="52">
        <f>SUM(J51:J54)</f>
        <v>1531.1000000000001</v>
      </c>
      <c r="K50" s="52">
        <f>SUM(K51:K54)</f>
        <v>577.4</v>
      </c>
      <c r="L50" s="52">
        <f>SUM(L51:L54)</f>
        <v>305.3</v>
      </c>
      <c r="M50" s="52">
        <f>SUM(M51:M54)</f>
        <v>1803.2</v>
      </c>
      <c r="N50" s="4"/>
      <c r="O50" s="4"/>
      <c r="P50" s="85">
        <f>SUM(P51:P54)</f>
        <v>4599.2829999999994</v>
      </c>
      <c r="Q50" s="85">
        <f>SUM(Q51:Q54)</f>
        <v>469.09500000000003</v>
      </c>
      <c r="R50" s="85">
        <f>SUM(R51:R54)</f>
        <v>820.21199999999999</v>
      </c>
      <c r="S50" s="85">
        <f>SUM(S51:S54)</f>
        <v>4248.1660000000002</v>
      </c>
      <c r="T50" s="4"/>
      <c r="U50" s="4"/>
      <c r="V50" s="85">
        <f>SUM(V51:V54)</f>
        <v>3175.3850000000002</v>
      </c>
      <c r="W50" s="85">
        <f>SUM(W51:W54)</f>
        <v>477</v>
      </c>
      <c r="X50" s="85">
        <f>SUM(X51:X54)</f>
        <v>1812.3</v>
      </c>
      <c r="Y50" s="85">
        <f>SUM(Y51:Y54)</f>
        <v>1840.0849999999998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1074.8399999999999</v>
      </c>
      <c r="E51" s="85">
        <v>3677.39</v>
      </c>
      <c r="F51" s="85">
        <v>848.64</v>
      </c>
      <c r="G51" s="52">
        <f>D51+E51-F51</f>
        <v>3903.5899999999997</v>
      </c>
      <c r="H51" s="49"/>
      <c r="I51" s="4"/>
      <c r="J51" s="52">
        <v>800</v>
      </c>
      <c r="K51" s="85">
        <v>150</v>
      </c>
      <c r="L51" s="85">
        <v>0</v>
      </c>
      <c r="M51" s="52">
        <f>J51+K51-L51</f>
        <v>950</v>
      </c>
      <c r="N51" s="4"/>
      <c r="O51" s="4"/>
      <c r="P51" s="85">
        <v>3903.5889999999999</v>
      </c>
      <c r="Q51" s="85">
        <v>231.392</v>
      </c>
      <c r="R51" s="85">
        <v>764.54200000000003</v>
      </c>
      <c r="S51" s="52">
        <f>P51+Q51-R51</f>
        <v>3370.4389999999999</v>
      </c>
      <c r="T51" s="4"/>
      <c r="U51" s="4"/>
      <c r="V51" s="85">
        <v>2370.4</v>
      </c>
      <c r="W51" s="85">
        <v>100</v>
      </c>
      <c r="X51" s="85">
        <v>1500</v>
      </c>
      <c r="Y51" s="52">
        <f>V51+W51-X51</f>
        <v>970.40000000000009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130.47</v>
      </c>
      <c r="E52" s="85">
        <v>396.02</v>
      </c>
      <c r="F52" s="85">
        <v>396.83</v>
      </c>
      <c r="G52" s="52">
        <f>D52+E52-F52</f>
        <v>129.66000000000003</v>
      </c>
      <c r="H52" s="49"/>
      <c r="I52" s="4"/>
      <c r="J52" s="52">
        <v>121.5</v>
      </c>
      <c r="K52" s="85">
        <v>287.39999999999998</v>
      </c>
      <c r="L52" s="85">
        <v>205.3</v>
      </c>
      <c r="M52" s="52">
        <f>J52+K52-L52</f>
        <v>203.59999999999997</v>
      </c>
      <c r="N52" s="4"/>
      <c r="O52" s="4"/>
      <c r="P52" s="85">
        <v>129.666</v>
      </c>
      <c r="Q52" s="85">
        <v>150.464</v>
      </c>
      <c r="R52" s="85">
        <v>0</v>
      </c>
      <c r="S52" s="52">
        <f>P52+Q52-R52</f>
        <v>280.13</v>
      </c>
      <c r="T52" s="4"/>
      <c r="U52" s="4"/>
      <c r="V52" s="85">
        <v>225.256</v>
      </c>
      <c r="W52" s="85">
        <v>300</v>
      </c>
      <c r="X52" s="85">
        <v>205.3</v>
      </c>
      <c r="Y52" s="52">
        <f>V52+W52-X52</f>
        <v>319.95599999999996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294.42</v>
      </c>
      <c r="E53" s="85">
        <v>3.5</v>
      </c>
      <c r="F53" s="85">
        <v>0</v>
      </c>
      <c r="G53" s="52">
        <f>D53+E53-F53</f>
        <v>297.92</v>
      </c>
      <c r="H53" s="49"/>
      <c r="I53" s="4"/>
      <c r="J53" s="52">
        <v>297.89999999999998</v>
      </c>
      <c r="K53" s="85">
        <v>0</v>
      </c>
      <c r="L53" s="85">
        <v>0</v>
      </c>
      <c r="M53" s="52">
        <f>J53+K53-L53</f>
        <v>297.89999999999998</v>
      </c>
      <c r="N53" s="4"/>
      <c r="O53" s="4"/>
      <c r="P53" s="85">
        <v>297.89999999999998</v>
      </c>
      <c r="Q53" s="85">
        <v>48.47</v>
      </c>
      <c r="R53" s="85">
        <v>0</v>
      </c>
      <c r="S53" s="52">
        <f>P53+Q53-R53</f>
        <v>346.37</v>
      </c>
      <c r="T53" s="4"/>
      <c r="U53" s="4"/>
      <c r="V53" s="85">
        <v>346.4</v>
      </c>
      <c r="W53" s="85">
        <v>0</v>
      </c>
      <c r="X53" s="85">
        <v>0</v>
      </c>
      <c r="Y53" s="52">
        <f>V53+W53-X53</f>
        <v>346.4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249.38</v>
      </c>
      <c r="E54" s="85">
        <v>146.88999999999999</v>
      </c>
      <c r="F54" s="85">
        <v>128.13999999999999</v>
      </c>
      <c r="G54" s="52">
        <f>D54+E54-F54</f>
        <v>268.13</v>
      </c>
      <c r="H54" s="49"/>
      <c r="I54" s="4"/>
      <c r="J54" s="52">
        <v>311.7</v>
      </c>
      <c r="K54" s="85">
        <v>140</v>
      </c>
      <c r="L54" s="85">
        <v>100</v>
      </c>
      <c r="M54" s="52">
        <f>J54+K54-L54</f>
        <v>351.7</v>
      </c>
      <c r="N54" s="4"/>
      <c r="O54" s="4"/>
      <c r="P54" s="85">
        <v>268.12799999999999</v>
      </c>
      <c r="Q54" s="85">
        <v>38.768999999999998</v>
      </c>
      <c r="R54" s="85">
        <v>55.67</v>
      </c>
      <c r="S54" s="52">
        <f>P54+Q54-R54</f>
        <v>251.22699999999998</v>
      </c>
      <c r="T54" s="4"/>
      <c r="U54" s="4"/>
      <c r="V54" s="85">
        <v>233.32900000000001</v>
      </c>
      <c r="W54" s="85">
        <v>77</v>
      </c>
      <c r="X54" s="85">
        <v>107</v>
      </c>
      <c r="Y54" s="52">
        <f>V54+W54-X54</f>
        <v>203.32900000000001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15</v>
      </c>
      <c r="E57" s="86">
        <v>15.3</v>
      </c>
      <c r="F57" s="49"/>
      <c r="G57" s="49"/>
      <c r="H57" s="49"/>
      <c r="I57" s="50"/>
      <c r="J57" s="86">
        <v>15</v>
      </c>
      <c r="K57" s="49"/>
      <c r="L57" s="49"/>
      <c r="M57" s="49"/>
      <c r="N57" s="49"/>
      <c r="O57" s="50"/>
      <c r="P57" s="86">
        <v>16</v>
      </c>
      <c r="Q57" s="50"/>
      <c r="R57" s="50"/>
      <c r="S57" s="50"/>
      <c r="T57" s="50"/>
      <c r="U57" s="50"/>
      <c r="V57" s="86">
        <v>16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34"/>
      <c r="C71" s="135"/>
      <c r="D71" s="136"/>
      <c r="E71" s="13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4"/>
      <c r="W71" s="154"/>
      <c r="X71" s="154"/>
      <c r="Y71" s="154"/>
      <c r="Z71" s="154"/>
      <c r="AA71" s="154"/>
      <c r="AB71" s="155"/>
      <c r="AC71" s="4"/>
      <c r="AD71" s="4"/>
    </row>
    <row r="72" spans="1:30" x14ac:dyDescent="0.25">
      <c r="A72" s="87"/>
      <c r="B72" s="138"/>
      <c r="C72" s="137"/>
      <c r="D72" s="138"/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87"/>
      <c r="B73" s="138"/>
      <c r="C73" s="137"/>
      <c r="D73" s="138"/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 t="s">
        <v>80</v>
      </c>
      <c r="C75" s="120">
        <v>45575</v>
      </c>
      <c r="D75" s="53" t="s">
        <v>76</v>
      </c>
      <c r="E75" s="216" t="s">
        <v>187</v>
      </c>
      <c r="F75" s="216"/>
      <c r="G75" s="216"/>
      <c r="H75" s="53"/>
      <c r="I75" s="53" t="s">
        <v>77</v>
      </c>
      <c r="J75" s="223" t="s">
        <v>186</v>
      </c>
      <c r="K75" s="223"/>
      <c r="L75" s="223"/>
      <c r="M75" s="223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ht="7.5" customHeight="1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5"/>
      <c r="B77" s="53"/>
      <c r="C77" s="53"/>
      <c r="D77" s="53" t="s">
        <v>79</v>
      </c>
      <c r="E77" s="55"/>
      <c r="F77" s="55"/>
      <c r="G77" s="55"/>
      <c r="H77" s="53"/>
      <c r="I77" s="53" t="s">
        <v>79</v>
      </c>
      <c r="J77" s="54"/>
      <c r="K77" s="54"/>
      <c r="L77" s="54"/>
      <c r="M77" s="54"/>
      <c r="N77" s="53"/>
      <c r="O77" s="53"/>
      <c r="P77" s="53"/>
      <c r="Q77" s="53"/>
      <c r="R77" s="53"/>
      <c r="S77" s="53"/>
      <c r="T77" s="53"/>
      <c r="U77" s="53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5"/>
      <c r="B78" s="53"/>
      <c r="C78" s="53"/>
      <c r="D78" s="53"/>
      <c r="E78" s="55"/>
      <c r="F78" s="55"/>
      <c r="G78" s="55"/>
      <c r="H78" s="53"/>
      <c r="I78" s="53"/>
      <c r="J78" s="54"/>
      <c r="K78" s="54"/>
      <c r="L78" s="54"/>
      <c r="M78" s="54"/>
      <c r="N78" s="53"/>
      <c r="O78" s="53"/>
      <c r="P78" s="53"/>
      <c r="Q78" s="53"/>
      <c r="R78" s="53"/>
      <c r="S78" s="53"/>
      <c r="T78" s="53"/>
      <c r="U78" s="53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A79" s="5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A80" s="5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4"/>
      <c r="W80" s="4"/>
      <c r="X80" s="4"/>
      <c r="Y80" s="4"/>
      <c r="Z80" s="4"/>
      <c r="AA80" s="4"/>
      <c r="AB80" s="4"/>
      <c r="AC80" s="4"/>
      <c r="AD80" s="4"/>
    </row>
    <row r="81" spans="29:30" hidden="1" x14ac:dyDescent="0.25">
      <c r="AC81" s="3"/>
      <c r="AD81" s="3"/>
    </row>
    <row r="82" spans="29:30" hidden="1" x14ac:dyDescent="0.25"/>
    <row r="83" spans="29:30" hidden="1" x14ac:dyDescent="0.25"/>
    <row r="84" spans="29:30" hidden="1" x14ac:dyDescent="0.25"/>
    <row r="85" spans="29:30" hidden="1" x14ac:dyDescent="0.25"/>
    <row r="86" spans="29:30" hidden="1" x14ac:dyDescent="0.25"/>
    <row r="87" spans="29:30" hidden="1" x14ac:dyDescent="0.25"/>
    <row r="88" spans="29:30" hidden="1" x14ac:dyDescent="0.25"/>
    <row r="89" spans="29:30" hidden="1" x14ac:dyDescent="0.25"/>
    <row r="90" spans="29:30" hidden="1" x14ac:dyDescent="0.25"/>
    <row r="91" spans="29:30" hidden="1" x14ac:dyDescent="0.25"/>
    <row r="92" spans="29:30" hidden="1" x14ac:dyDescent="0.25"/>
    <row r="93" spans="29:30" hidden="1" x14ac:dyDescent="0.25"/>
    <row r="94" spans="29:30" hidden="1" x14ac:dyDescent="0.25"/>
    <row r="95" spans="29:30" hidden="1" x14ac:dyDescent="0.25"/>
    <row r="96" spans="29:30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B10:B13"/>
    <mergeCell ref="J10:O10"/>
    <mergeCell ref="J11:M11"/>
    <mergeCell ref="J12:O12"/>
    <mergeCell ref="J13:L13"/>
    <mergeCell ref="M13:M14"/>
    <mergeCell ref="N13:N14"/>
    <mergeCell ref="O26:O27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75:G75"/>
    <mergeCell ref="J75:M75"/>
    <mergeCell ref="B63:U63"/>
    <mergeCell ref="H26:H27"/>
    <mergeCell ref="I26:I27"/>
    <mergeCell ref="N26:N27"/>
    <mergeCell ref="V10:AA10"/>
    <mergeCell ref="V25:AA25"/>
    <mergeCell ref="Y13:Y14"/>
    <mergeCell ref="Z13:Z14"/>
    <mergeCell ref="T13:T14"/>
    <mergeCell ref="U13:U14"/>
    <mergeCell ref="P25:U25"/>
    <mergeCell ref="S13:S14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55" priority="3" operator="equal">
      <formula>0</formula>
    </cfRule>
    <cfRule type="containsErrors" dxfId="54" priority="4">
      <formula>ISERROR(AB15)</formula>
    </cfRule>
  </conditionalFormatting>
  <conditionalFormatting sqref="AB28:AB41">
    <cfRule type="cellIs" dxfId="53" priority="1" operator="equal">
      <formula>0</formula>
    </cfRule>
    <cfRule type="containsErrors" dxfId="5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D128"/>
  <sheetViews>
    <sheetView showGridLines="0" zoomScale="80" zoomScaleNormal="80" zoomScaleSheetLayoutView="80" workbookViewId="0">
      <selection activeCell="M44" sqref="M4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224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298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61345636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297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112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/>
      <c r="E15" s="430"/>
      <c r="F15" s="429">
        <f>2474.3-73.8</f>
        <v>2400.5</v>
      </c>
      <c r="G15" s="428">
        <f>SUM(D15:F15)</f>
        <v>2400.5</v>
      </c>
      <c r="H15" s="410">
        <v>73.8</v>
      </c>
      <c r="I15" s="320">
        <f>G15+H15</f>
        <v>2474.3000000000002</v>
      </c>
      <c r="J15" s="435"/>
      <c r="K15" s="434"/>
      <c r="L15" s="433">
        <v>2650</v>
      </c>
      <c r="M15" s="432">
        <f>SUM(J15:L15)</f>
        <v>2650</v>
      </c>
      <c r="N15" s="411">
        <v>100</v>
      </c>
      <c r="O15" s="321">
        <f>M15+N15</f>
        <v>2750</v>
      </c>
      <c r="P15" s="431"/>
      <c r="Q15" s="430"/>
      <c r="R15" s="429">
        <v>1341.5</v>
      </c>
      <c r="S15" s="428">
        <f>SUM(P15:R15)</f>
        <v>1341.5</v>
      </c>
      <c r="T15" s="410">
        <v>42.2</v>
      </c>
      <c r="U15" s="320">
        <f>S15+T15</f>
        <v>1383.7</v>
      </c>
      <c r="V15" s="431"/>
      <c r="W15" s="430"/>
      <c r="X15" s="429">
        <v>2500</v>
      </c>
      <c r="Y15" s="428">
        <f>SUM(V15:X15)</f>
        <v>2500</v>
      </c>
      <c r="Z15" s="410">
        <v>100</v>
      </c>
      <c r="AA15" s="320">
        <f>Y15+Z15</f>
        <v>2600</v>
      </c>
      <c r="AB15" s="280">
        <f>(AA15/O15)</f>
        <v>0.94545454545454544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1872</v>
      </c>
      <c r="E16" s="403"/>
      <c r="F16" s="403"/>
      <c r="G16" s="401">
        <f>SUM(D16:F16)</f>
        <v>1872</v>
      </c>
      <c r="H16" s="423"/>
      <c r="I16" s="320">
        <f>G16+H16</f>
        <v>1872</v>
      </c>
      <c r="J16" s="426">
        <v>2093</v>
      </c>
      <c r="K16" s="408"/>
      <c r="L16" s="408"/>
      <c r="M16" s="406">
        <f>SUM(J16:L16)</f>
        <v>2093</v>
      </c>
      <c r="N16" s="425"/>
      <c r="O16" s="321">
        <f>M16+N16</f>
        <v>2093</v>
      </c>
      <c r="P16" s="424">
        <v>936</v>
      </c>
      <c r="Q16" s="403"/>
      <c r="R16" s="403"/>
      <c r="S16" s="401">
        <f>SUM(P16:R16)</f>
        <v>936</v>
      </c>
      <c r="T16" s="423"/>
      <c r="U16" s="320">
        <f>S16+T16</f>
        <v>936</v>
      </c>
      <c r="V16" s="424">
        <v>2000</v>
      </c>
      <c r="W16" s="403"/>
      <c r="X16" s="403"/>
      <c r="Y16" s="401">
        <f>SUM(V16:X16)</f>
        <v>2000</v>
      </c>
      <c r="Z16" s="423"/>
      <c r="AA16" s="320">
        <f>Y16+Z16</f>
        <v>2000</v>
      </c>
      <c r="AB16" s="280">
        <f>(AA16/O16)</f>
        <v>0.95556617295747726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>
        <v>212</v>
      </c>
      <c r="E17" s="413"/>
      <c r="F17" s="413"/>
      <c r="G17" s="401">
        <f>SUM(D17:F17)</f>
        <v>212</v>
      </c>
      <c r="H17" s="419"/>
      <c r="I17" s="320">
        <f>G17+H17</f>
        <v>212</v>
      </c>
      <c r="J17" s="421">
        <v>212</v>
      </c>
      <c r="K17" s="416"/>
      <c r="L17" s="416"/>
      <c r="M17" s="406">
        <f>SUM(J17:L17)</f>
        <v>212</v>
      </c>
      <c r="N17" s="420"/>
      <c r="O17" s="321">
        <f>M17+N17</f>
        <v>212</v>
      </c>
      <c r="P17" s="58">
        <v>130.42400000000001</v>
      </c>
      <c r="Q17" s="413"/>
      <c r="R17" s="413"/>
      <c r="S17" s="401">
        <f>SUM(P17:R17)</f>
        <v>130.42400000000001</v>
      </c>
      <c r="T17" s="419"/>
      <c r="U17" s="320">
        <f>S17+T17</f>
        <v>130.42400000000001</v>
      </c>
      <c r="V17" s="58">
        <v>137</v>
      </c>
      <c r="W17" s="413"/>
      <c r="X17" s="413"/>
      <c r="Y17" s="401">
        <f>SUM(V17:X17)</f>
        <v>137</v>
      </c>
      <c r="Z17" s="419"/>
      <c r="AA17" s="320">
        <f>Y17+Z17</f>
        <v>137</v>
      </c>
      <c r="AB17" s="280">
        <f>(AA17/O17)</f>
        <v>0.64622641509433965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/>
      <c r="E18" s="60">
        <v>23271.7</v>
      </c>
      <c r="F18" s="413"/>
      <c r="G18" s="401">
        <f>SUM(D18:F18)</f>
        <v>23271.7</v>
      </c>
      <c r="H18" s="410"/>
      <c r="I18" s="320">
        <f>G18+H18</f>
        <v>23271.7</v>
      </c>
      <c r="J18" s="409"/>
      <c r="K18" s="415">
        <v>25000</v>
      </c>
      <c r="L18" s="416"/>
      <c r="M18" s="406">
        <f>SUM(J18:L18)</f>
        <v>25000</v>
      </c>
      <c r="N18" s="411"/>
      <c r="O18" s="321">
        <f>M18+N18</f>
        <v>25000</v>
      </c>
      <c r="P18" s="404"/>
      <c r="Q18" s="60">
        <v>11643</v>
      </c>
      <c r="R18" s="413"/>
      <c r="S18" s="401">
        <f>SUM(P18:R18)</f>
        <v>11643</v>
      </c>
      <c r="T18" s="410"/>
      <c r="U18" s="320">
        <f>S18+T18</f>
        <v>11643</v>
      </c>
      <c r="V18" s="404"/>
      <c r="W18" s="60">
        <v>25000</v>
      </c>
      <c r="X18" s="413"/>
      <c r="Y18" s="401">
        <f>SUM(V18:X18)</f>
        <v>25000</v>
      </c>
      <c r="Z18" s="410"/>
      <c r="AA18" s="320">
        <f>Y18+Z18</f>
        <v>25000</v>
      </c>
      <c r="AB18" s="280">
        <f>(AA18/O18)</f>
        <v>1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/>
      <c r="E19" s="413"/>
      <c r="F19" s="60"/>
      <c r="G19" s="401">
        <f>SUM(D19:F19)</f>
        <v>0</v>
      </c>
      <c r="H19" s="410"/>
      <c r="I19" s="320">
        <f>G19+H19</f>
        <v>0</v>
      </c>
      <c r="J19" s="417"/>
      <c r="K19" s="416"/>
      <c r="L19" s="415">
        <v>267</v>
      </c>
      <c r="M19" s="406">
        <f>SUM(J19:L19)</f>
        <v>267</v>
      </c>
      <c r="N19" s="411"/>
      <c r="O19" s="321">
        <f>M19+N19</f>
        <v>267</v>
      </c>
      <c r="P19" s="414"/>
      <c r="Q19" s="413"/>
      <c r="R19" s="60">
        <v>133.52000000000001</v>
      </c>
      <c r="S19" s="401">
        <f>SUM(P19:R19)</f>
        <v>133.52000000000001</v>
      </c>
      <c r="T19" s="410"/>
      <c r="U19" s="320">
        <f>S19+T19</f>
        <v>133.52000000000001</v>
      </c>
      <c r="V19" s="414"/>
      <c r="W19" s="413"/>
      <c r="X19" s="60">
        <v>254</v>
      </c>
      <c r="Y19" s="401">
        <f>SUM(V19:X19)</f>
        <v>254</v>
      </c>
      <c r="Z19" s="410"/>
      <c r="AA19" s="320">
        <f>Y19+Z19</f>
        <v>254</v>
      </c>
      <c r="AB19" s="280">
        <f>(AA19/O19)</f>
        <v>0.95131086142322097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/>
      <c r="E20" s="403"/>
      <c r="F20" s="402">
        <v>267.04199999999997</v>
      </c>
      <c r="G20" s="401">
        <v>267</v>
      </c>
      <c r="H20" s="410"/>
      <c r="I20" s="320">
        <f>G20+H20</f>
        <v>267</v>
      </c>
      <c r="J20" s="409"/>
      <c r="K20" s="408"/>
      <c r="L20" s="407">
        <v>100</v>
      </c>
      <c r="M20" s="406">
        <f>SUM(J20:L20)</f>
        <v>100</v>
      </c>
      <c r="N20" s="411"/>
      <c r="O20" s="321">
        <f>M20+N20</f>
        <v>100</v>
      </c>
      <c r="P20" s="404"/>
      <c r="Q20" s="403"/>
      <c r="R20" s="402"/>
      <c r="S20" s="401">
        <f>SUM(P20:R20)</f>
        <v>0</v>
      </c>
      <c r="T20" s="410"/>
      <c r="U20" s="320">
        <f>S20+T20</f>
        <v>0</v>
      </c>
      <c r="V20" s="404"/>
      <c r="W20" s="403"/>
      <c r="X20" s="402">
        <v>100</v>
      </c>
      <c r="Y20" s="401">
        <f>SUM(V20:X20)</f>
        <v>100</v>
      </c>
      <c r="Z20" s="410"/>
      <c r="AA20" s="320">
        <f>Y20+Z20</f>
        <v>100</v>
      </c>
      <c r="AB20" s="280">
        <f>(AA20/O20)</f>
        <v>1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/>
      <c r="E21" s="403"/>
      <c r="F21" s="402">
        <v>254.93</v>
      </c>
      <c r="G21" s="401">
        <f>SUM(D21:F21)</f>
        <v>254.93</v>
      </c>
      <c r="H21" s="400">
        <v>54.5</v>
      </c>
      <c r="I21" s="320">
        <f>G21+H21</f>
        <v>309.43</v>
      </c>
      <c r="J21" s="409"/>
      <c r="K21" s="408"/>
      <c r="L21" s="407">
        <v>150</v>
      </c>
      <c r="M21" s="406">
        <f>SUM(J21:L21)</f>
        <v>150</v>
      </c>
      <c r="N21" s="405">
        <v>50</v>
      </c>
      <c r="O21" s="321">
        <f>M21+N21</f>
        <v>200</v>
      </c>
      <c r="P21" s="404"/>
      <c r="Q21" s="403"/>
      <c r="R21" s="402">
        <v>132.96</v>
      </c>
      <c r="S21" s="401">
        <f>SUM(P21:R21)</f>
        <v>132.96</v>
      </c>
      <c r="T21" s="400">
        <v>42.1</v>
      </c>
      <c r="U21" s="320">
        <f>S21+T21</f>
        <v>175.06</v>
      </c>
      <c r="V21" s="404"/>
      <c r="W21" s="403"/>
      <c r="X21" s="402">
        <v>150</v>
      </c>
      <c r="Y21" s="401">
        <f>SUM(V21:X21)</f>
        <v>150</v>
      </c>
      <c r="Z21" s="400">
        <v>80</v>
      </c>
      <c r="AA21" s="320">
        <f>Y21+Z21</f>
        <v>230</v>
      </c>
      <c r="AB21" s="280">
        <f>(AA21/O21)</f>
        <v>1.1499999999999999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/>
      <c r="E22" s="403"/>
      <c r="F22" s="402"/>
      <c r="G22" s="401">
        <f>SUM(D22:F22)</f>
        <v>0</v>
      </c>
      <c r="H22" s="400">
        <v>54.5</v>
      </c>
      <c r="I22" s="320">
        <f>G22+H22</f>
        <v>54.5</v>
      </c>
      <c r="J22" s="409"/>
      <c r="K22" s="408"/>
      <c r="L22" s="407"/>
      <c r="M22" s="406">
        <f>SUM(J22:L22)</f>
        <v>0</v>
      </c>
      <c r="N22" s="405">
        <v>50</v>
      </c>
      <c r="O22" s="321">
        <f>M22+N22</f>
        <v>50</v>
      </c>
      <c r="P22" s="404"/>
      <c r="Q22" s="403"/>
      <c r="R22" s="402"/>
      <c r="S22" s="401">
        <f>SUM(P22:R22)</f>
        <v>0</v>
      </c>
      <c r="T22" s="400">
        <v>42.1</v>
      </c>
      <c r="U22" s="320">
        <f>S22+T22</f>
        <v>42.1</v>
      </c>
      <c r="V22" s="404"/>
      <c r="W22" s="403"/>
      <c r="X22" s="402"/>
      <c r="Y22" s="401">
        <f>SUM(V22:X22)</f>
        <v>0</v>
      </c>
      <c r="Z22" s="400">
        <v>80</v>
      </c>
      <c r="AA22" s="320">
        <f>Y22+Z22</f>
        <v>80</v>
      </c>
      <c r="AB22" s="280">
        <f>(AA22/O22)</f>
        <v>1.6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/>
      <c r="E23" s="391"/>
      <c r="F23" s="390"/>
      <c r="G23" s="389">
        <f>SUM(D23:F23)</f>
        <v>0</v>
      </c>
      <c r="H23" s="388"/>
      <c r="I23" s="309">
        <f>G23+H23</f>
        <v>0</v>
      </c>
      <c r="J23" s="397"/>
      <c r="K23" s="396"/>
      <c r="L23" s="395"/>
      <c r="M23" s="394">
        <f>SUM(J23:L23)</f>
        <v>0</v>
      </c>
      <c r="N23" s="393"/>
      <c r="O23" s="313">
        <f>M23+N23</f>
        <v>0</v>
      </c>
      <c r="P23" s="392"/>
      <c r="Q23" s="391"/>
      <c r="R23" s="390"/>
      <c r="S23" s="389">
        <f>SUM(P23:R23)</f>
        <v>0</v>
      </c>
      <c r="T23" s="388"/>
      <c r="U23" s="309">
        <f>S23+T23</f>
        <v>0</v>
      </c>
      <c r="V23" s="392"/>
      <c r="W23" s="391"/>
      <c r="X23" s="390"/>
      <c r="Y23" s="389">
        <f>SUM(V23:X23)</f>
        <v>0</v>
      </c>
      <c r="Z23" s="388"/>
      <c r="AA23" s="309">
        <f>Y23+Z23</f>
        <v>0</v>
      </c>
      <c r="AB23" s="308" t="e">
        <f>(AA23/O23)</f>
        <v>#DIV/0!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2084</v>
      </c>
      <c r="E24" s="381">
        <f>SUM(E15:E21)</f>
        <v>23271.7</v>
      </c>
      <c r="F24" s="381">
        <f>SUM(F15:F21)</f>
        <v>2922.4719999999998</v>
      </c>
      <c r="G24" s="380">
        <f>G15+G16+G17+G18+G20+G21</f>
        <v>28278.13</v>
      </c>
      <c r="H24" s="379">
        <f>SUM(H15:H21)</f>
        <v>128.30000000000001</v>
      </c>
      <c r="I24" s="379">
        <f>SUM(I15:I21)</f>
        <v>28406.43</v>
      </c>
      <c r="J24" s="386">
        <f>SUM(J15:J21)</f>
        <v>2305</v>
      </c>
      <c r="K24" s="385">
        <f>SUM(K15:K21)</f>
        <v>25000</v>
      </c>
      <c r="L24" s="385">
        <f>SUM(L15:L21)</f>
        <v>3167</v>
      </c>
      <c r="M24" s="384">
        <f>SUM(J24:L24)</f>
        <v>30472</v>
      </c>
      <c r="N24" s="383">
        <f>SUM(N15:N21)</f>
        <v>150</v>
      </c>
      <c r="O24" s="383">
        <f>SUM(O15:O21)</f>
        <v>30622</v>
      </c>
      <c r="P24" s="382">
        <f>SUM(P15:P21)</f>
        <v>1066.424</v>
      </c>
      <c r="Q24" s="381">
        <f>SUM(Q15:Q21)</f>
        <v>11643</v>
      </c>
      <c r="R24" s="381">
        <f>SUM(R15:R21)</f>
        <v>1607.98</v>
      </c>
      <c r="S24" s="380">
        <f>SUM(P24:R24)</f>
        <v>14317.403999999999</v>
      </c>
      <c r="T24" s="379">
        <f>SUM(T15:T21)</f>
        <v>84.300000000000011</v>
      </c>
      <c r="U24" s="379">
        <f>SUM(U15:U21)</f>
        <v>14401.704</v>
      </c>
      <c r="V24" s="382">
        <f>SUM(V15:V21)</f>
        <v>2137</v>
      </c>
      <c r="W24" s="381">
        <f>SUM(W15:W21)</f>
        <v>25000</v>
      </c>
      <c r="X24" s="381">
        <f>SUM(X15:X21)</f>
        <v>3004</v>
      </c>
      <c r="Y24" s="380">
        <f>SUM(V24:X24)</f>
        <v>30141</v>
      </c>
      <c r="Z24" s="379">
        <f>SUM(Z15:Z21)</f>
        <v>180</v>
      </c>
      <c r="AA24" s="379">
        <f>SUM(AA15:AA21)</f>
        <v>30321</v>
      </c>
      <c r="AB24" s="378">
        <f>(AA24/O24)</f>
        <v>0.99017046567827049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367" t="s">
        <v>112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354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339"/>
      <c r="AC27" s="4"/>
      <c r="AD27" s="4"/>
    </row>
    <row r="28" spans="1:30" ht="15.75" thickBot="1" x14ac:dyDescent="0.3">
      <c r="A28" s="4"/>
      <c r="B28" s="338" t="s">
        <v>19</v>
      </c>
      <c r="C28" s="337" t="s">
        <v>10</v>
      </c>
      <c r="D28" s="333">
        <v>0</v>
      </c>
      <c r="E28" s="333"/>
      <c r="F28" s="333">
        <v>585.29999999999995</v>
      </c>
      <c r="G28" s="332">
        <f>D28+E28+F28</f>
        <v>585.29999999999995</v>
      </c>
      <c r="H28" s="332"/>
      <c r="I28" s="331">
        <f>G28+H28</f>
        <v>585.29999999999995</v>
      </c>
      <c r="J28" s="489"/>
      <c r="K28" s="488"/>
      <c r="L28" s="488">
        <v>600</v>
      </c>
      <c r="M28" s="336">
        <f>SUM(J28:L28)</f>
        <v>600</v>
      </c>
      <c r="N28" s="336"/>
      <c r="O28" s="335">
        <f>M28+N28</f>
        <v>600</v>
      </c>
      <c r="P28" s="334"/>
      <c r="Q28" s="333"/>
      <c r="R28" s="333">
        <v>48.39</v>
      </c>
      <c r="S28" s="332">
        <f>SUM(P28:R28)</f>
        <v>48.39</v>
      </c>
      <c r="T28" s="332"/>
      <c r="U28" s="331">
        <f>S28+T28</f>
        <v>48.39</v>
      </c>
      <c r="V28" s="334"/>
      <c r="W28" s="333"/>
      <c r="X28" s="333">
        <v>600</v>
      </c>
      <c r="Y28" s="332">
        <f>SUM(V28:X28)</f>
        <v>600</v>
      </c>
      <c r="Z28" s="332"/>
      <c r="AA28" s="331">
        <f>Y28+Z28</f>
        <v>600</v>
      </c>
      <c r="AB28" s="280">
        <f>(AA28/O28)</f>
        <v>1</v>
      </c>
      <c r="AC28" s="4"/>
      <c r="AD28" s="4"/>
    </row>
    <row r="29" spans="1:30" ht="15.75" thickBot="1" x14ac:dyDescent="0.3">
      <c r="A29" s="4"/>
      <c r="B29" s="326" t="s">
        <v>20</v>
      </c>
      <c r="C29" s="325" t="s">
        <v>12</v>
      </c>
      <c r="D29" s="323">
        <v>0</v>
      </c>
      <c r="E29" s="323"/>
      <c r="F29" s="323">
        <v>358.1</v>
      </c>
      <c r="G29" s="332">
        <f>D29+E29+F29</f>
        <v>358.1</v>
      </c>
      <c r="H29" s="315"/>
      <c r="I29" s="320">
        <f>G29+H29</f>
        <v>358.1</v>
      </c>
      <c r="J29" s="487"/>
      <c r="K29" s="486"/>
      <c r="L29" s="486">
        <v>400</v>
      </c>
      <c r="M29" s="322">
        <f>SUM(J29:L29)</f>
        <v>400</v>
      </c>
      <c r="N29" s="322"/>
      <c r="O29" s="321">
        <f>M29+N29</f>
        <v>400</v>
      </c>
      <c r="P29" s="324"/>
      <c r="Q29" s="323"/>
      <c r="R29" s="323">
        <v>94.74</v>
      </c>
      <c r="S29" s="315">
        <f>SUM(P29:R29)</f>
        <v>94.74</v>
      </c>
      <c r="T29" s="315"/>
      <c r="U29" s="320">
        <f>S29+T29</f>
        <v>94.74</v>
      </c>
      <c r="V29" s="324"/>
      <c r="W29" s="323"/>
      <c r="X29" s="323">
        <v>400</v>
      </c>
      <c r="Y29" s="315">
        <f>SUM(V29:X29)</f>
        <v>400</v>
      </c>
      <c r="Z29" s="315"/>
      <c r="AA29" s="320">
        <f>Y29+Z29</f>
        <v>400</v>
      </c>
      <c r="AB29" s="280">
        <f>(AA29/O29)</f>
        <v>1</v>
      </c>
      <c r="AC29" s="4"/>
      <c r="AD29" s="4"/>
    </row>
    <row r="30" spans="1:30" ht="15.75" thickBot="1" x14ac:dyDescent="0.3">
      <c r="A30" s="4"/>
      <c r="B30" s="326" t="s">
        <v>22</v>
      </c>
      <c r="C30" s="325" t="s">
        <v>14</v>
      </c>
      <c r="D30" s="323">
        <v>1266.5999999999999</v>
      </c>
      <c r="E30" s="323"/>
      <c r="F30" s="323">
        <v>202</v>
      </c>
      <c r="G30" s="332">
        <f>D30+E30+F30</f>
        <v>1468.6</v>
      </c>
      <c r="H30" s="315"/>
      <c r="I30" s="320">
        <f>G30+H30</f>
        <v>1468.6</v>
      </c>
      <c r="J30" s="487">
        <v>1506</v>
      </c>
      <c r="K30" s="486"/>
      <c r="L30" s="486">
        <v>300</v>
      </c>
      <c r="M30" s="322">
        <f>SUM(J30:L30)</f>
        <v>1806</v>
      </c>
      <c r="N30" s="322"/>
      <c r="O30" s="321">
        <f>M30+N30</f>
        <v>1806</v>
      </c>
      <c r="P30" s="324">
        <v>640.5</v>
      </c>
      <c r="Q30" s="323"/>
      <c r="R30" s="323">
        <v>384.1</v>
      </c>
      <c r="S30" s="315">
        <f>SUM(P30:R30)</f>
        <v>1024.5999999999999</v>
      </c>
      <c r="T30" s="315"/>
      <c r="U30" s="320">
        <f>S30+T30</f>
        <v>1024.5999999999999</v>
      </c>
      <c r="V30" s="324">
        <v>1443</v>
      </c>
      <c r="W30" s="323"/>
      <c r="X30" s="323">
        <v>350</v>
      </c>
      <c r="Y30" s="315">
        <f>SUM(V30:X30)</f>
        <v>1793</v>
      </c>
      <c r="Z30" s="315"/>
      <c r="AA30" s="320">
        <f>Y30+Z30</f>
        <v>1793</v>
      </c>
      <c r="AB30" s="280">
        <f>(AA30/O30)</f>
        <v>0.99280177187153928</v>
      </c>
      <c r="AC30" s="4"/>
      <c r="AD30" s="4"/>
    </row>
    <row r="31" spans="1:30" ht="15.75" thickBot="1" x14ac:dyDescent="0.3">
      <c r="A31" s="4"/>
      <c r="B31" s="326" t="s">
        <v>24</v>
      </c>
      <c r="C31" s="325" t="s">
        <v>16</v>
      </c>
      <c r="D31" s="323">
        <v>75</v>
      </c>
      <c r="E31" s="323">
        <v>12.3</v>
      </c>
      <c r="F31" s="323">
        <v>916.2</v>
      </c>
      <c r="G31" s="332">
        <f>D31+E31+F31</f>
        <v>1003.5</v>
      </c>
      <c r="H31" s="315"/>
      <c r="I31" s="320">
        <f>G31+H31</f>
        <v>1003.5</v>
      </c>
      <c r="J31" s="487">
        <v>75</v>
      </c>
      <c r="K31" s="486">
        <v>1000</v>
      </c>
      <c r="L31" s="486">
        <v>1100</v>
      </c>
      <c r="M31" s="322">
        <f>SUM(J31:L31)</f>
        <v>2175</v>
      </c>
      <c r="N31" s="322"/>
      <c r="O31" s="321">
        <f>M31+N31</f>
        <v>2175</v>
      </c>
      <c r="P31" s="324">
        <v>59</v>
      </c>
      <c r="Q31" s="323">
        <v>104</v>
      </c>
      <c r="R31" s="323">
        <v>423.5</v>
      </c>
      <c r="S31" s="315">
        <f>SUM(P31:R31)</f>
        <v>586.5</v>
      </c>
      <c r="T31" s="315"/>
      <c r="U31" s="320">
        <f>S31+T31</f>
        <v>586.5</v>
      </c>
      <c r="V31" s="324"/>
      <c r="W31" s="323">
        <v>1000</v>
      </c>
      <c r="X31" s="323">
        <v>925</v>
      </c>
      <c r="Y31" s="315">
        <f>SUM(V31:X31)</f>
        <v>1925</v>
      </c>
      <c r="Z31" s="315"/>
      <c r="AA31" s="320">
        <f>Y31+Z31</f>
        <v>1925</v>
      </c>
      <c r="AB31" s="280">
        <f>(AA31/O31)</f>
        <v>0.88505747126436785</v>
      </c>
      <c r="AC31" s="4"/>
      <c r="AD31" s="4"/>
    </row>
    <row r="32" spans="1:30" ht="15.75" thickBot="1" x14ac:dyDescent="0.3">
      <c r="A32" s="4"/>
      <c r="B32" s="326" t="s">
        <v>26</v>
      </c>
      <c r="C32" s="325" t="s">
        <v>18</v>
      </c>
      <c r="D32" s="926">
        <f>D33+D34</f>
        <v>321.3</v>
      </c>
      <c r="E32" s="323">
        <f>E33+E34</f>
        <v>17462.490000000002</v>
      </c>
      <c r="F32" s="323"/>
      <c r="G32" s="332">
        <f>D32+E32+F32</f>
        <v>17783.79</v>
      </c>
      <c r="H32" s="315">
        <v>17.5</v>
      </c>
      <c r="I32" s="320">
        <f>G32+H32</f>
        <v>17801.29</v>
      </c>
      <c r="J32" s="487">
        <v>287</v>
      </c>
      <c r="K32" s="486">
        <v>17500</v>
      </c>
      <c r="L32" s="486">
        <v>100</v>
      </c>
      <c r="M32" s="322">
        <f>SUM(J32:L32)</f>
        <v>17887</v>
      </c>
      <c r="N32" s="322">
        <v>50</v>
      </c>
      <c r="O32" s="321">
        <f>M32+N32</f>
        <v>17937</v>
      </c>
      <c r="P32" s="327">
        <f>P33+P34</f>
        <v>155.5</v>
      </c>
      <c r="Q32" s="323">
        <f>Q33+Q34</f>
        <v>7809.4249999999993</v>
      </c>
      <c r="R32" s="323">
        <v>0</v>
      </c>
      <c r="S32" s="315">
        <f>SUM(P32:R32)</f>
        <v>7964.9249999999993</v>
      </c>
      <c r="T32" s="315">
        <v>11.3</v>
      </c>
      <c r="U32" s="320">
        <f>S32+T32</f>
        <v>7976.2249999999995</v>
      </c>
      <c r="V32" s="327">
        <v>300</v>
      </c>
      <c r="W32" s="323">
        <v>17500</v>
      </c>
      <c r="X32" s="323"/>
      <c r="Y32" s="315">
        <f>SUM(V32:X32)</f>
        <v>17800</v>
      </c>
      <c r="Z32" s="315">
        <v>30</v>
      </c>
      <c r="AA32" s="320">
        <f>Y32+Z32</f>
        <v>17830</v>
      </c>
      <c r="AB32" s="280">
        <f>(AA32/O32)</f>
        <v>0.9940346769247923</v>
      </c>
      <c r="AC32" s="4"/>
      <c r="AD32" s="4"/>
    </row>
    <row r="33" spans="1:30" ht="15.75" thickBot="1" x14ac:dyDescent="0.3">
      <c r="A33" s="4"/>
      <c r="B33" s="326" t="s">
        <v>28</v>
      </c>
      <c r="C33" s="330" t="s">
        <v>42</v>
      </c>
      <c r="D33" s="926">
        <v>319.2</v>
      </c>
      <c r="E33" s="323">
        <v>17090.54</v>
      </c>
      <c r="F33" s="323"/>
      <c r="G33" s="332">
        <f>D33+E33+F33</f>
        <v>17409.740000000002</v>
      </c>
      <c r="H33" s="315">
        <v>17.5</v>
      </c>
      <c r="I33" s="320">
        <f>G33+H33</f>
        <v>17427.240000000002</v>
      </c>
      <c r="J33" s="487">
        <v>287</v>
      </c>
      <c r="K33" s="486">
        <v>17500</v>
      </c>
      <c r="L33" s="486"/>
      <c r="M33" s="322">
        <f>SUM(J33:L33)</f>
        <v>17787</v>
      </c>
      <c r="N33" s="322">
        <v>50</v>
      </c>
      <c r="O33" s="321">
        <f>M33+N33</f>
        <v>17837</v>
      </c>
      <c r="P33" s="327">
        <v>155</v>
      </c>
      <c r="Q33" s="323">
        <f>7582.32+91.705+26</f>
        <v>7700.0249999999996</v>
      </c>
      <c r="R33" s="323">
        <v>0</v>
      </c>
      <c r="S33" s="315">
        <f>SUM(P33:R33)</f>
        <v>7855.0249999999996</v>
      </c>
      <c r="T33" s="315">
        <v>11.25</v>
      </c>
      <c r="U33" s="320">
        <f>S33+T33</f>
        <v>7866.2749999999996</v>
      </c>
      <c r="V33" s="327">
        <v>300</v>
      </c>
      <c r="W33" s="323">
        <v>17500</v>
      </c>
      <c r="X33" s="323"/>
      <c r="Y33" s="315">
        <f>SUM(V33:X33)</f>
        <v>17800</v>
      </c>
      <c r="Z33" s="315">
        <v>30</v>
      </c>
      <c r="AA33" s="320">
        <f>Y33+Z33</f>
        <v>17830</v>
      </c>
      <c r="AB33" s="280">
        <f>(AA33/O33)</f>
        <v>0.99960755732466222</v>
      </c>
      <c r="AC33" s="4"/>
      <c r="AD33" s="4"/>
    </row>
    <row r="34" spans="1:30" ht="15.75" thickBot="1" x14ac:dyDescent="0.3">
      <c r="A34" s="4"/>
      <c r="B34" s="326" t="s">
        <v>30</v>
      </c>
      <c r="C34" s="329" t="s">
        <v>21</v>
      </c>
      <c r="D34" s="926">
        <v>2.1</v>
      </c>
      <c r="E34" s="323">
        <v>371.95</v>
      </c>
      <c r="F34" s="323"/>
      <c r="G34" s="332">
        <f>D34+E34+F34</f>
        <v>374.05</v>
      </c>
      <c r="H34" s="315"/>
      <c r="I34" s="320">
        <f>G34+H34</f>
        <v>374.05</v>
      </c>
      <c r="J34" s="487" t="s">
        <v>87</v>
      </c>
      <c r="K34" s="486"/>
      <c r="L34" s="486"/>
      <c r="M34" s="322">
        <f>SUM(J34:L34)</f>
        <v>0</v>
      </c>
      <c r="N34" s="322"/>
      <c r="O34" s="321">
        <f>M34+N34</f>
        <v>0</v>
      </c>
      <c r="P34" s="327">
        <v>0.5</v>
      </c>
      <c r="Q34" s="323">
        <f>33.6+75.8</f>
        <v>109.4</v>
      </c>
      <c r="R34" s="323">
        <v>0</v>
      </c>
      <c r="S34" s="315">
        <f>SUM(P34:R34)</f>
        <v>109.9</v>
      </c>
      <c r="T34" s="315"/>
      <c r="U34" s="320">
        <f>S34+T34</f>
        <v>109.9</v>
      </c>
      <c r="V34" s="327"/>
      <c r="W34" s="323"/>
      <c r="X34" s="323"/>
      <c r="Y34" s="315">
        <f>SUM(V34:X34)</f>
        <v>0</v>
      </c>
      <c r="Z34" s="315"/>
      <c r="AA34" s="320">
        <f>Y34+Z34</f>
        <v>0</v>
      </c>
      <c r="AB34" s="280" t="e">
        <f>(AA34/O34)</f>
        <v>#DIV/0!</v>
      </c>
      <c r="AC34" s="4"/>
      <c r="AD34" s="4"/>
    </row>
    <row r="35" spans="1:30" ht="15.75" thickBot="1" x14ac:dyDescent="0.3">
      <c r="A35" s="4"/>
      <c r="B35" s="326" t="s">
        <v>32</v>
      </c>
      <c r="C35" s="325" t="s">
        <v>23</v>
      </c>
      <c r="D35" s="328">
        <v>34.5</v>
      </c>
      <c r="E35" s="323">
        <v>5764</v>
      </c>
      <c r="F35" s="323"/>
      <c r="G35" s="332">
        <f>D35+E35+F35</f>
        <v>5798.5</v>
      </c>
      <c r="H35" s="315"/>
      <c r="I35" s="320">
        <f>G35+H35</f>
        <v>5798.5</v>
      </c>
      <c r="J35" s="487">
        <v>50</v>
      </c>
      <c r="K35" s="486">
        <v>6000</v>
      </c>
      <c r="L35" s="486"/>
      <c r="M35" s="322">
        <f>SUM(J35:L35)</f>
        <v>6050</v>
      </c>
      <c r="N35" s="322"/>
      <c r="O35" s="321">
        <f>M35+N35</f>
        <v>6050</v>
      </c>
      <c r="P35" s="327">
        <v>17.899999999999999</v>
      </c>
      <c r="Q35" s="323">
        <v>2525.38</v>
      </c>
      <c r="R35" s="323">
        <v>0</v>
      </c>
      <c r="S35" s="315">
        <f>SUM(P35:R35)</f>
        <v>2543.2800000000002</v>
      </c>
      <c r="T35" s="315"/>
      <c r="U35" s="320">
        <f>S35+T35</f>
        <v>2543.2800000000002</v>
      </c>
      <c r="V35" s="327">
        <v>50</v>
      </c>
      <c r="W35" s="323">
        <v>6000</v>
      </c>
      <c r="X35" s="323"/>
      <c r="Y35" s="315">
        <f>SUM(V35:X35)</f>
        <v>6050</v>
      </c>
      <c r="Z35" s="315"/>
      <c r="AA35" s="320">
        <f>Y35+Z35</f>
        <v>6050</v>
      </c>
      <c r="AB35" s="280">
        <f>(AA35/O35)</f>
        <v>1</v>
      </c>
      <c r="AC35" s="4"/>
      <c r="AD35" s="4"/>
    </row>
    <row r="36" spans="1:30" ht="15.75" thickBot="1" x14ac:dyDescent="0.3">
      <c r="A36" s="4"/>
      <c r="B36" s="326" t="s">
        <v>33</v>
      </c>
      <c r="C36" s="325" t="s">
        <v>25</v>
      </c>
      <c r="D36" s="323">
        <v>0</v>
      </c>
      <c r="E36" s="323"/>
      <c r="F36" s="323">
        <v>44.1</v>
      </c>
      <c r="G36" s="332">
        <f>D36+E36+F36</f>
        <v>44.1</v>
      </c>
      <c r="H36" s="315"/>
      <c r="I36" s="320">
        <f>G36+H36</f>
        <v>44.1</v>
      </c>
      <c r="J36" s="487"/>
      <c r="K36" s="486"/>
      <c r="L36" s="486"/>
      <c r="M36" s="322">
        <f>SUM(J36:L36)</f>
        <v>0</v>
      </c>
      <c r="N36" s="322"/>
      <c r="O36" s="321">
        <f>M36+N36</f>
        <v>0</v>
      </c>
      <c r="P36" s="324"/>
      <c r="Q36" s="323"/>
      <c r="R36" s="323">
        <v>27</v>
      </c>
      <c r="S36" s="315">
        <f>SUM(P36:R36)</f>
        <v>27</v>
      </c>
      <c r="T36" s="315"/>
      <c r="U36" s="320">
        <f>S36+T36</f>
        <v>27</v>
      </c>
      <c r="V36" s="324"/>
      <c r="W36" s="323"/>
      <c r="X36" s="323">
        <v>50</v>
      </c>
      <c r="Y36" s="315">
        <f>SUM(V36:X36)</f>
        <v>50</v>
      </c>
      <c r="Z36" s="315"/>
      <c r="AA36" s="320">
        <f>Y36+Z36</f>
        <v>50</v>
      </c>
      <c r="AB36" s="280" t="e">
        <f>(AA36/O36)</f>
        <v>#DIV/0!</v>
      </c>
      <c r="AC36" s="4"/>
      <c r="AD36" s="4"/>
    </row>
    <row r="37" spans="1:30" ht="15.75" thickBot="1" x14ac:dyDescent="0.3">
      <c r="A37" s="4"/>
      <c r="B37" s="326" t="s">
        <v>34</v>
      </c>
      <c r="C37" s="325" t="s">
        <v>27</v>
      </c>
      <c r="D37" s="323">
        <f>653.6-267</f>
        <v>386.6</v>
      </c>
      <c r="E37" s="323"/>
      <c r="F37" s="323">
        <v>267.04199999999997</v>
      </c>
      <c r="G37" s="332">
        <f>D37+E37+F37</f>
        <v>653.64200000000005</v>
      </c>
      <c r="H37" s="315"/>
      <c r="I37" s="320">
        <f>G37+H37</f>
        <v>653.64200000000005</v>
      </c>
      <c r="J37" s="487">
        <v>387</v>
      </c>
      <c r="K37" s="486"/>
      <c r="L37" s="486">
        <v>267</v>
      </c>
      <c r="M37" s="322">
        <f>SUM(J37:L37)</f>
        <v>654</v>
      </c>
      <c r="N37" s="322"/>
      <c r="O37" s="321">
        <f>M37+N37</f>
        <v>654</v>
      </c>
      <c r="P37" s="324">
        <v>193.5</v>
      </c>
      <c r="Q37" s="323"/>
      <c r="R37" s="323">
        <v>133.5</v>
      </c>
      <c r="S37" s="315">
        <f>SUM(P37:R37)</f>
        <v>327</v>
      </c>
      <c r="T37" s="315"/>
      <c r="U37" s="320">
        <f>S37+T37</f>
        <v>327</v>
      </c>
      <c r="V37" s="324">
        <v>344</v>
      </c>
      <c r="W37" s="323"/>
      <c r="X37" s="323">
        <v>254</v>
      </c>
      <c r="Y37" s="315">
        <f>SUM(V37:X37)</f>
        <v>598</v>
      </c>
      <c r="Z37" s="315"/>
      <c r="AA37" s="320">
        <f>Y37+Z37</f>
        <v>598</v>
      </c>
      <c r="AB37" s="280">
        <f>(AA37/O37)</f>
        <v>0.91437308868501532</v>
      </c>
      <c r="AC37" s="4"/>
      <c r="AD37" s="4"/>
    </row>
    <row r="38" spans="1:30" ht="15.75" thickBot="1" x14ac:dyDescent="0.3">
      <c r="A38" s="4"/>
      <c r="B38" s="317" t="s">
        <v>35</v>
      </c>
      <c r="C38" s="316" t="s">
        <v>29</v>
      </c>
      <c r="D38" s="311">
        <v>0</v>
      </c>
      <c r="E38" s="311">
        <v>32.9</v>
      </c>
      <c r="F38" s="311">
        <v>431.4</v>
      </c>
      <c r="G38" s="332">
        <f>D38+E38+F38</f>
        <v>464.29999999999995</v>
      </c>
      <c r="H38" s="310"/>
      <c r="I38" s="309">
        <f>G38+H38</f>
        <v>464.29999999999995</v>
      </c>
      <c r="J38" s="485"/>
      <c r="K38" s="484">
        <v>500</v>
      </c>
      <c r="L38" s="484">
        <v>500</v>
      </c>
      <c r="M38" s="314">
        <f>SUM(J38:L38)</f>
        <v>1000</v>
      </c>
      <c r="N38" s="314"/>
      <c r="O38" s="313">
        <f>M38+N38</f>
        <v>1000</v>
      </c>
      <c r="P38" s="312"/>
      <c r="Q38" s="311"/>
      <c r="R38" s="311">
        <v>198.3</v>
      </c>
      <c r="S38" s="310">
        <f>SUM(P38:R38)</f>
        <v>198.3</v>
      </c>
      <c r="T38" s="310"/>
      <c r="U38" s="309">
        <f>S38+T38</f>
        <v>198.3</v>
      </c>
      <c r="V38" s="312"/>
      <c r="W38" s="311">
        <v>500</v>
      </c>
      <c r="X38" s="311">
        <v>575</v>
      </c>
      <c r="Y38" s="310">
        <f>SUM(V38:X38)</f>
        <v>1075</v>
      </c>
      <c r="Z38" s="310"/>
      <c r="AA38" s="309">
        <f>Y38+Z38</f>
        <v>1075</v>
      </c>
      <c r="AB38" s="308">
        <f>(AA38/O38)</f>
        <v>1.075</v>
      </c>
      <c r="AC38" s="4"/>
      <c r="AD38" s="4"/>
    </row>
    <row r="39" spans="1:30" ht="15.75" thickBot="1" x14ac:dyDescent="0.3">
      <c r="A39" s="4"/>
      <c r="B39" s="307" t="s">
        <v>48</v>
      </c>
      <c r="C39" s="306" t="s">
        <v>31</v>
      </c>
      <c r="D39" s="301">
        <f>SUM(D35:D38)+SUM(D28:D32)</f>
        <v>2084</v>
      </c>
      <c r="E39" s="301">
        <f>SUM(E35:E38)+SUM(E28:E32)</f>
        <v>23271.690000000002</v>
      </c>
      <c r="F39" s="301">
        <f>F28+F29+F30+F31+F32+F35+F36+F37+F38</f>
        <v>2804.1420000000003</v>
      </c>
      <c r="G39" s="300">
        <f>G28+G29+G30+G31+G32+G35+G36+G37+G38</f>
        <v>28159.831999999999</v>
      </c>
      <c r="H39" s="299">
        <f>SUM(H28:H32)+SUM(H35:H38)</f>
        <v>17.5</v>
      </c>
      <c r="I39" s="298">
        <f>SUM(I35:I38)+SUM(I28:I32)</f>
        <v>28177.332000000002</v>
      </c>
      <c r="J39" s="305">
        <f>SUM(J35:J38)+SUM(J28:J32)</f>
        <v>2305</v>
      </c>
      <c r="K39" s="305">
        <f>SUM(K35:K38)+SUM(K28:K32)</f>
        <v>25000</v>
      </c>
      <c r="L39" s="305">
        <f>SUM(L35:L38)+SUM(L28:L32)</f>
        <v>3267</v>
      </c>
      <c r="M39" s="304">
        <f>SUM(J39:L39)</f>
        <v>30572</v>
      </c>
      <c r="N39" s="303">
        <f>SUM(N28:N32)+SUM(N35:N38)</f>
        <v>50</v>
      </c>
      <c r="O39" s="302">
        <f>SUM(O35:O38)+SUM(O28:O32)</f>
        <v>30622</v>
      </c>
      <c r="P39" s="301">
        <f>SUM(P35:P38)+SUM(P28:P32)</f>
        <v>1066.4000000000001</v>
      </c>
      <c r="Q39" s="301">
        <f>SUM(Q35:Q38)+SUM(Q28:Q32)</f>
        <v>10438.805</v>
      </c>
      <c r="R39" s="301">
        <f>SUM(R35:R38)+SUM(R28:R32)</f>
        <v>1309.53</v>
      </c>
      <c r="S39" s="300">
        <f>SUM(P39:R39)</f>
        <v>12814.735000000001</v>
      </c>
      <c r="T39" s="299">
        <f>SUM(T28:T32)+SUM(T35:T38)</f>
        <v>11.3</v>
      </c>
      <c r="U39" s="298">
        <f>SUM(U35:U38)+SUM(U28:U32)</f>
        <v>12826.035</v>
      </c>
      <c r="V39" s="301">
        <f>SUM(V35:V38)+SUM(V28:V32)</f>
        <v>2137</v>
      </c>
      <c r="W39" s="305">
        <f>SUM(W35:W38)+SUM(W28:W32)</f>
        <v>25000</v>
      </c>
      <c r="X39" s="301">
        <f>SUM(X35:X38)+SUM(X28:X32)</f>
        <v>3154</v>
      </c>
      <c r="Y39" s="300">
        <f>SUM(V39:X39)</f>
        <v>30291</v>
      </c>
      <c r="Z39" s="299">
        <f>SUM(Z28:Z32)+SUM(Z35:Z38)</f>
        <v>30</v>
      </c>
      <c r="AA39" s="298">
        <f>SUM(AA35:AA38)+SUM(AA28:AA32)</f>
        <v>30321</v>
      </c>
      <c r="AB39" s="297">
        <f>(AA39/O39)</f>
        <v>0.99017046567827049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292">
        <f>D24-D39</f>
        <v>0</v>
      </c>
      <c r="E40" s="292">
        <f>E24-E39</f>
        <v>9.9999999983992893E-3</v>
      </c>
      <c r="F40" s="292">
        <f>F24-F39</f>
        <v>118.32999999999947</v>
      </c>
      <c r="G40" s="291">
        <f>G24-G39</f>
        <v>118.2980000000025</v>
      </c>
      <c r="H40" s="291">
        <f>H24-H39</f>
        <v>110.80000000000001</v>
      </c>
      <c r="I40" s="290">
        <f>I24-I39</f>
        <v>229.09799999999814</v>
      </c>
      <c r="J40" s="292">
        <f>J24-J39</f>
        <v>0</v>
      </c>
      <c r="K40" s="292">
        <f>K24-K39</f>
        <v>0</v>
      </c>
      <c r="L40" s="292">
        <f>L24-L39</f>
        <v>-100</v>
      </c>
      <c r="M40" s="294">
        <f>M24-M39</f>
        <v>-100</v>
      </c>
      <c r="N40" s="294">
        <f>N24-N39</f>
        <v>100</v>
      </c>
      <c r="O40" s="293">
        <f>O24-O39</f>
        <v>0</v>
      </c>
      <c r="P40" s="292">
        <f>P24-P39</f>
        <v>2.3999999999887223E-2</v>
      </c>
      <c r="Q40" s="292">
        <f>Q24-Q39</f>
        <v>1204.1949999999997</v>
      </c>
      <c r="R40" s="292">
        <f>R24-R39</f>
        <v>298.45000000000005</v>
      </c>
      <c r="S40" s="291">
        <f>S24-S39</f>
        <v>1502.6689999999981</v>
      </c>
      <c r="T40" s="291">
        <f>T24-T39</f>
        <v>73.000000000000014</v>
      </c>
      <c r="U40" s="290">
        <f>U24-U39</f>
        <v>1575.6689999999999</v>
      </c>
      <c r="V40" s="292">
        <f>V24-V39</f>
        <v>0</v>
      </c>
      <c r="W40" s="292">
        <f>W24-W39</f>
        <v>0</v>
      </c>
      <c r="X40" s="292">
        <f>X24-X39</f>
        <v>-150</v>
      </c>
      <c r="Y40" s="291">
        <f>Y24-Y39</f>
        <v>-150</v>
      </c>
      <c r="Z40" s="291">
        <f>Z24-Z39</f>
        <v>150</v>
      </c>
      <c r="AA40" s="290">
        <f>AA24-AA39</f>
        <v>0</v>
      </c>
      <c r="AB40" s="289" t="e">
        <f>(AA40/O40)</f>
        <v>#DIV/0!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285"/>
      <c r="E41" s="284"/>
      <c r="F41" s="284"/>
      <c r="G41" s="283"/>
      <c r="H41" s="286"/>
      <c r="I41" s="281">
        <f>I40-D16</f>
        <v>-1642.9020000000019</v>
      </c>
      <c r="J41" s="285"/>
      <c r="K41" s="284"/>
      <c r="L41" s="284"/>
      <c r="M41" s="283"/>
      <c r="N41" s="282"/>
      <c r="O41" s="281">
        <f>O40-J16</f>
        <v>-2093</v>
      </c>
      <c r="P41" s="285"/>
      <c r="Q41" s="284"/>
      <c r="R41" s="284"/>
      <c r="S41" s="283"/>
      <c r="T41" s="282"/>
      <c r="U41" s="281">
        <f>U40-P16</f>
        <v>639.66899999999987</v>
      </c>
      <c r="V41" s="285"/>
      <c r="W41" s="284"/>
      <c r="X41" s="284"/>
      <c r="Y41" s="283"/>
      <c r="Z41" s="282"/>
      <c r="AA41" s="281">
        <f>AA40-V16</f>
        <v>-2000</v>
      </c>
      <c r="AB41" s="280">
        <f>(AA41/O41)</f>
        <v>0.95556617295747726</v>
      </c>
      <c r="AC41" s="4"/>
      <c r="AD41" s="4"/>
    </row>
    <row r="42" spans="1:30" ht="8.25" customHeight="1" thickBot="1" x14ac:dyDescent="0.3">
      <c r="A42" s="4"/>
      <c r="B42" s="272"/>
      <c r="C42" s="164"/>
      <c r="D42" s="279"/>
      <c r="E42" s="256"/>
      <c r="F42" s="256"/>
      <c r="G42" s="4"/>
      <c r="H42" s="256"/>
      <c r="I42" s="256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106" t="s">
        <v>41</v>
      </c>
      <c r="E43" s="278" t="s">
        <v>83</v>
      </c>
      <c r="F43" s="277" t="s">
        <v>36</v>
      </c>
      <c r="G43" s="256"/>
      <c r="H43" s="256"/>
      <c r="I43" s="255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106" t="s">
        <v>41</v>
      </c>
      <c r="W43" s="278" t="s">
        <v>83</v>
      </c>
      <c r="X43" s="277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272"/>
      <c r="C44" s="276"/>
      <c r="D44" s="266">
        <v>112.4</v>
      </c>
      <c r="E44" s="275">
        <v>112.4</v>
      </c>
      <c r="F44" s="274">
        <v>0</v>
      </c>
      <c r="G44" s="256"/>
      <c r="H44" s="256"/>
      <c r="I44" s="255"/>
      <c r="J44" s="266">
        <v>112.4</v>
      </c>
      <c r="K44" s="275">
        <v>112.4</v>
      </c>
      <c r="L44" s="274">
        <v>0</v>
      </c>
      <c r="M44" s="273"/>
      <c r="N44" s="273"/>
      <c r="O44" s="273"/>
      <c r="P44" s="266">
        <v>56.2</v>
      </c>
      <c r="Q44" s="275">
        <v>56.2</v>
      </c>
      <c r="R44" s="274">
        <v>0</v>
      </c>
      <c r="S44" s="4"/>
      <c r="T44" s="4"/>
      <c r="U44" s="4"/>
      <c r="V44" s="266">
        <v>112.4</v>
      </c>
      <c r="W44" s="275">
        <v>112.4</v>
      </c>
      <c r="X44" s="274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272"/>
      <c r="C45" s="164"/>
      <c r="D45" s="273"/>
      <c r="E45" s="256"/>
      <c r="F45" s="256"/>
      <c r="G45" s="256"/>
      <c r="H45" s="256"/>
      <c r="I45" s="255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95" t="s">
        <v>86</v>
      </c>
      <c r="E46" s="269" t="s">
        <v>84</v>
      </c>
      <c r="F46" s="256"/>
      <c r="G46" s="256"/>
      <c r="H46" s="256"/>
      <c r="I46" s="255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691"/>
      <c r="T46" s="4"/>
      <c r="U46" s="4"/>
      <c r="V46" s="95" t="s">
        <v>86</v>
      </c>
      <c r="W46" s="269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257"/>
      <c r="C47" s="268"/>
      <c r="D47" s="266">
        <v>0</v>
      </c>
      <c r="E47" s="265">
        <v>0</v>
      </c>
      <c r="F47" s="256"/>
      <c r="G47" s="256"/>
      <c r="H47" s="256"/>
      <c r="I47" s="255"/>
      <c r="J47" s="266">
        <v>0</v>
      </c>
      <c r="K47" s="265">
        <v>0</v>
      </c>
      <c r="L47" s="267"/>
      <c r="M47" s="267"/>
      <c r="N47" s="4"/>
      <c r="O47" s="4"/>
      <c r="P47" s="266">
        <v>0</v>
      </c>
      <c r="Q47" s="265">
        <v>0</v>
      </c>
      <c r="R47" s="4"/>
      <c r="S47" s="4"/>
      <c r="T47" s="4"/>
      <c r="U47" s="4"/>
      <c r="V47" s="266">
        <v>0</v>
      </c>
      <c r="W47" s="265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257"/>
      <c r="C48" s="164"/>
      <c r="D48" s="256"/>
      <c r="E48" s="256"/>
      <c r="F48" s="256"/>
      <c r="G48" s="256"/>
      <c r="H48" s="256"/>
      <c r="I48" s="255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257"/>
      <c r="C49" s="261" t="s">
        <v>81</v>
      </c>
      <c r="D49" s="260" t="s">
        <v>72</v>
      </c>
      <c r="E49" s="260" t="s">
        <v>73</v>
      </c>
      <c r="F49" s="260" t="s">
        <v>91</v>
      </c>
      <c r="G49" s="260" t="s">
        <v>93</v>
      </c>
      <c r="H49" s="256"/>
      <c r="I49" s="4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260" t="s">
        <v>72</v>
      </c>
      <c r="Q49" s="260" t="s">
        <v>73</v>
      </c>
      <c r="R49" s="260" t="s">
        <v>91</v>
      </c>
      <c r="S49" s="260" t="s">
        <v>94</v>
      </c>
      <c r="T49" s="4"/>
      <c r="U49" s="4"/>
      <c r="V49" s="260" t="s">
        <v>95</v>
      </c>
      <c r="W49" s="260" t="s">
        <v>73</v>
      </c>
      <c r="X49" s="260" t="s">
        <v>91</v>
      </c>
      <c r="Y49" s="260" t="s">
        <v>94</v>
      </c>
      <c r="Z49" s="4"/>
      <c r="AA49" s="4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263"/>
      <c r="E50" s="263"/>
      <c r="F50" s="263"/>
      <c r="G50" s="262">
        <f>SUM(G51:G54)</f>
        <v>2635.7830000000004</v>
      </c>
      <c r="H50" s="256"/>
      <c r="I50" s="4"/>
      <c r="J50" s="263"/>
      <c r="K50" s="263"/>
      <c r="L50" s="263"/>
      <c r="M50" s="262">
        <f>SUM(M51:M54)</f>
        <v>2825.6</v>
      </c>
      <c r="N50" s="4"/>
      <c r="O50" s="4"/>
      <c r="P50" s="263"/>
      <c r="Q50" s="263"/>
      <c r="R50" s="263"/>
      <c r="S50" s="262">
        <f>S51+S52+S53+S54</f>
        <v>3074</v>
      </c>
      <c r="T50" s="4"/>
      <c r="U50" s="4"/>
      <c r="V50" s="263"/>
      <c r="W50" s="263"/>
      <c r="X50" s="263"/>
      <c r="Y50" s="262">
        <f>SUM(Y51:Y54)</f>
        <v>3380.6</v>
      </c>
      <c r="Z50" s="4"/>
      <c r="AA50" s="4"/>
      <c r="AB50" s="4"/>
      <c r="AC50" s="4"/>
      <c r="AD50" s="4"/>
    </row>
    <row r="51" spans="1:30" x14ac:dyDescent="0.25">
      <c r="A51" s="4"/>
      <c r="B51" s="257"/>
      <c r="C51" s="259" t="s">
        <v>70</v>
      </c>
      <c r="D51" s="263">
        <v>878.2</v>
      </c>
      <c r="E51" s="263">
        <v>235.9</v>
      </c>
      <c r="F51" s="263"/>
      <c r="G51" s="262">
        <f>D51+E51-F51</f>
        <v>1114.1000000000001</v>
      </c>
      <c r="H51" s="256"/>
      <c r="I51" s="4"/>
      <c r="J51" s="263">
        <v>1100</v>
      </c>
      <c r="K51" s="263"/>
      <c r="L51" s="263"/>
      <c r="M51" s="262">
        <f>J51+K51-L51</f>
        <v>1100</v>
      </c>
      <c r="N51" s="4"/>
      <c r="O51" s="4"/>
      <c r="P51" s="263">
        <v>1114</v>
      </c>
      <c r="Q51" s="263">
        <v>209</v>
      </c>
      <c r="R51" s="263"/>
      <c r="S51" s="262">
        <f>P51+Q51-R51</f>
        <v>1323</v>
      </c>
      <c r="T51" s="4"/>
      <c r="U51" s="4"/>
      <c r="V51" s="263">
        <v>1323</v>
      </c>
      <c r="W51" s="263"/>
      <c r="X51" s="263"/>
      <c r="Y51" s="262">
        <f>V51+W51-X51</f>
        <v>1323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259" t="s">
        <v>71</v>
      </c>
      <c r="D52" s="263">
        <v>728.83799999999997</v>
      </c>
      <c r="E52" s="263">
        <v>386.55500000000001</v>
      </c>
      <c r="F52" s="263">
        <v>112.4</v>
      </c>
      <c r="G52" s="262">
        <f>D52+E52-F52</f>
        <v>1002.9930000000001</v>
      </c>
      <c r="H52" s="256"/>
      <c r="I52" s="4"/>
      <c r="J52" s="263">
        <v>1002</v>
      </c>
      <c r="K52" s="263">
        <v>386</v>
      </c>
      <c r="L52" s="263">
        <v>112.4</v>
      </c>
      <c r="M52" s="262">
        <f>J52+K52-L52</f>
        <v>1275.5999999999999</v>
      </c>
      <c r="N52" s="4"/>
      <c r="O52" s="4"/>
      <c r="P52" s="263">
        <v>1003</v>
      </c>
      <c r="Q52" s="263">
        <v>193.5</v>
      </c>
      <c r="R52" s="263">
        <v>56.2</v>
      </c>
      <c r="S52" s="262">
        <v>1276</v>
      </c>
      <c r="T52" s="4"/>
      <c r="U52" s="4"/>
      <c r="V52" s="263">
        <v>1276</v>
      </c>
      <c r="W52" s="263">
        <v>386</v>
      </c>
      <c r="X52" s="263">
        <v>112.4</v>
      </c>
      <c r="Y52" s="262">
        <f>V52+W52-X52</f>
        <v>1549.6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259" t="s">
        <v>88</v>
      </c>
      <c r="D53" s="263">
        <v>257.66000000000003</v>
      </c>
      <c r="E53" s="263">
        <v>20</v>
      </c>
      <c r="F53" s="263"/>
      <c r="G53" s="262">
        <f>D53+E53-F53</f>
        <v>277.66000000000003</v>
      </c>
      <c r="H53" s="256"/>
      <c r="I53" s="4"/>
      <c r="J53" s="263">
        <v>260</v>
      </c>
      <c r="K53" s="263">
        <v>20</v>
      </c>
      <c r="L53" s="263">
        <v>20</v>
      </c>
      <c r="M53" s="262">
        <f>J53+K53-L53</f>
        <v>260</v>
      </c>
      <c r="N53" s="4"/>
      <c r="O53" s="4"/>
      <c r="P53" s="263">
        <v>277.7</v>
      </c>
      <c r="Q53" s="263">
        <v>20</v>
      </c>
      <c r="R53" s="263">
        <v>20</v>
      </c>
      <c r="S53" s="262">
        <v>278</v>
      </c>
      <c r="T53" s="4"/>
      <c r="U53" s="4"/>
      <c r="V53" s="263">
        <v>278</v>
      </c>
      <c r="W53" s="263">
        <v>20</v>
      </c>
      <c r="X53" s="263">
        <v>20</v>
      </c>
      <c r="Y53" s="262">
        <f>V53+W53-X53</f>
        <v>278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64" t="s">
        <v>89</v>
      </c>
      <c r="D54" s="263">
        <v>176.37</v>
      </c>
      <c r="E54" s="263">
        <v>341.66</v>
      </c>
      <c r="F54" s="263">
        <v>277</v>
      </c>
      <c r="G54" s="262">
        <f>D54+E54-F54</f>
        <v>241.02999999999997</v>
      </c>
      <c r="H54" s="256"/>
      <c r="I54" s="4"/>
      <c r="J54" s="263">
        <v>190</v>
      </c>
      <c r="K54" s="263">
        <v>320</v>
      </c>
      <c r="L54" s="263">
        <v>320</v>
      </c>
      <c r="M54" s="262">
        <f>J54+K54-L54</f>
        <v>190</v>
      </c>
      <c r="N54" s="4"/>
      <c r="O54" s="4"/>
      <c r="P54" s="263">
        <v>241</v>
      </c>
      <c r="Q54" s="263">
        <v>76.3</v>
      </c>
      <c r="R54" s="263">
        <v>62.7</v>
      </c>
      <c r="S54" s="262">
        <v>197</v>
      </c>
      <c r="T54" s="4"/>
      <c r="U54" s="4"/>
      <c r="V54" s="263">
        <v>230</v>
      </c>
      <c r="W54" s="263">
        <v>170</v>
      </c>
      <c r="X54" s="263">
        <v>170</v>
      </c>
      <c r="Y54" s="262">
        <f>V54+W54-X54</f>
        <v>230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257"/>
      <c r="C55" s="164"/>
      <c r="D55" s="256"/>
      <c r="E55" s="256"/>
      <c r="F55" s="256"/>
      <c r="G55" s="256"/>
      <c r="H55" s="25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257"/>
      <c r="C56" s="261" t="s">
        <v>74</v>
      </c>
      <c r="D56" s="260" t="s">
        <v>75</v>
      </c>
      <c r="E56" s="260" t="s">
        <v>96</v>
      </c>
      <c r="F56" s="256"/>
      <c r="G56" s="256"/>
      <c r="H56" s="256"/>
      <c r="I56" s="255"/>
      <c r="J56" s="260" t="s">
        <v>97</v>
      </c>
      <c r="K56" s="256"/>
      <c r="L56" s="256"/>
      <c r="M56" s="256"/>
      <c r="N56" s="256"/>
      <c r="O56" s="255"/>
      <c r="P56" s="260" t="s">
        <v>98</v>
      </c>
      <c r="Q56" s="255"/>
      <c r="R56" s="255"/>
      <c r="S56" s="255"/>
      <c r="T56" s="255"/>
      <c r="U56" s="255"/>
      <c r="V56" s="260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257"/>
      <c r="C57" s="259"/>
      <c r="D57" s="258">
        <v>32</v>
      </c>
      <c r="E57" s="258">
        <v>30</v>
      </c>
      <c r="F57" s="256"/>
      <c r="G57" s="256"/>
      <c r="H57" s="256"/>
      <c r="I57" s="255"/>
      <c r="J57" s="258">
        <v>33</v>
      </c>
      <c r="K57" s="256"/>
      <c r="L57" s="256"/>
      <c r="M57" s="256"/>
      <c r="N57" s="256"/>
      <c r="O57" s="255"/>
      <c r="P57" s="258">
        <v>29</v>
      </c>
      <c r="Q57" s="255"/>
      <c r="R57" s="255"/>
      <c r="S57" s="255"/>
      <c r="T57" s="255"/>
      <c r="U57" s="255"/>
      <c r="V57" s="258">
        <v>28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164"/>
      <c r="D58" s="256"/>
      <c r="E58" s="256"/>
      <c r="F58" s="256"/>
      <c r="G58" s="256"/>
      <c r="H58" s="256"/>
      <c r="I58" s="255"/>
      <c r="J58" s="256"/>
      <c r="K58" s="256"/>
      <c r="L58" s="256"/>
      <c r="M58" s="256"/>
      <c r="N58" s="256"/>
      <c r="O58" s="255"/>
      <c r="P58" s="255"/>
      <c r="Q58" s="255"/>
      <c r="R58" s="255"/>
      <c r="S58" s="255"/>
      <c r="T58" s="255"/>
      <c r="U58" s="255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4" t="s">
        <v>92</v>
      </c>
      <c r="C59" s="253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1"/>
      <c r="W59" s="251"/>
      <c r="X59" s="251"/>
      <c r="Y59" s="251"/>
      <c r="Z59" s="251"/>
      <c r="AA59" s="251"/>
      <c r="AB59" s="250"/>
      <c r="AC59" s="4"/>
      <c r="AD59" s="4"/>
    </row>
    <row r="60" spans="1:30" x14ac:dyDescent="0.25">
      <c r="A60" s="4"/>
      <c r="B60" s="249"/>
      <c r="M60"/>
      <c r="AB60" s="240"/>
      <c r="AC60" s="4"/>
      <c r="AD60" s="4"/>
    </row>
    <row r="61" spans="1:30" x14ac:dyDescent="0.25">
      <c r="A61" s="4"/>
      <c r="B61" s="245" t="s">
        <v>296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AB61" s="240"/>
      <c r="AC61" s="4"/>
      <c r="AD61" s="4"/>
    </row>
    <row r="62" spans="1:30" x14ac:dyDescent="0.25">
      <c r="A62" s="4"/>
      <c r="B62" s="245" t="s">
        <v>295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AB62" s="240"/>
      <c r="AC62" s="4"/>
      <c r="AD62" s="4"/>
    </row>
    <row r="63" spans="1:30" x14ac:dyDescent="0.25">
      <c r="A63" s="4"/>
      <c r="B63" s="245" t="s">
        <v>294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AB63" s="240"/>
      <c r="AC63" s="4"/>
      <c r="AD63" s="4"/>
    </row>
    <row r="64" spans="1:30" x14ac:dyDescent="0.25">
      <c r="A64" s="4"/>
      <c r="B64" s="246" t="s">
        <v>293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AB64" s="240"/>
      <c r="AC64" s="4"/>
      <c r="AD64" s="4"/>
    </row>
    <row r="65" spans="1:30" x14ac:dyDescent="0.25">
      <c r="A65" s="4"/>
      <c r="B65" s="246" t="s">
        <v>292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AB65" s="240"/>
      <c r="AC65" s="4"/>
      <c r="AD65" s="4"/>
    </row>
    <row r="66" spans="1:30" x14ac:dyDescent="0.25">
      <c r="A66" s="4"/>
      <c r="B66" s="246" t="s">
        <v>291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B66" s="240"/>
      <c r="AC66" s="4"/>
      <c r="AD66" s="4"/>
    </row>
    <row r="67" spans="1:30" x14ac:dyDescent="0.25">
      <c r="A67" s="4"/>
      <c r="B67" s="246" t="s">
        <v>290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 t="s">
        <v>289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 t="s">
        <v>288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232"/>
      <c r="C70" s="233"/>
      <c r="D70" s="232"/>
      <c r="E70" s="232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4"/>
      <c r="B71" s="232"/>
      <c r="C71" s="233"/>
      <c r="D71" s="232"/>
      <c r="E71" s="232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4"/>
      <c r="B72" s="225" t="s">
        <v>80</v>
      </c>
      <c r="C72" s="925">
        <v>45576</v>
      </c>
      <c r="D72" s="225"/>
      <c r="E72" s="225" t="s">
        <v>287</v>
      </c>
      <c r="F72" s="225"/>
      <c r="G72" s="225"/>
      <c r="H72" s="225"/>
      <c r="I72" s="225"/>
      <c r="J72" s="225" t="s">
        <v>286</v>
      </c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4"/>
      <c r="W72" s="4"/>
      <c r="X72" s="4"/>
      <c r="Y72" s="4"/>
      <c r="Z72" s="4"/>
      <c r="AA72" s="4"/>
      <c r="AB72" s="4"/>
      <c r="AC72" s="4"/>
      <c r="AD72" s="4"/>
    </row>
    <row r="73" spans="1:30" hidden="1" x14ac:dyDescent="0.25">
      <c r="A73" s="4"/>
      <c r="B73" s="225" t="s">
        <v>80</v>
      </c>
      <c r="C73" s="230"/>
      <c r="D73" s="225" t="s">
        <v>76</v>
      </c>
      <c r="E73" s="229"/>
      <c r="F73" s="229"/>
      <c r="G73" s="229"/>
      <c r="H73" s="225"/>
      <c r="I73" s="225" t="s">
        <v>77</v>
      </c>
      <c r="J73" s="228"/>
      <c r="K73" s="228"/>
      <c r="L73" s="228"/>
      <c r="M73" s="228"/>
      <c r="N73" s="225"/>
      <c r="O73" s="225"/>
      <c r="P73" s="225"/>
      <c r="Q73" s="225"/>
      <c r="R73" s="225"/>
      <c r="S73" s="225"/>
      <c r="T73" s="225"/>
      <c r="U73" s="225"/>
      <c r="V73" s="4"/>
      <c r="W73" s="4"/>
      <c r="X73" s="4"/>
      <c r="Y73" s="4"/>
      <c r="Z73" s="4"/>
      <c r="AA73" s="4"/>
      <c r="AB73" s="4"/>
      <c r="AC73" s="4"/>
      <c r="AD73" s="4"/>
    </row>
    <row r="74" spans="1:30" ht="7.5" customHeight="1" x14ac:dyDescent="0.25">
      <c r="A74" s="4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4"/>
      <c r="B75" s="225" t="s">
        <v>87</v>
      </c>
      <c r="C75" s="225"/>
      <c r="D75" s="225" t="s">
        <v>79</v>
      </c>
      <c r="E75" s="227" t="s">
        <v>285</v>
      </c>
      <c r="F75" s="227"/>
      <c r="G75" s="227"/>
      <c r="H75" s="225"/>
      <c r="I75" s="225" t="s">
        <v>79</v>
      </c>
      <c r="J75" s="226" t="s">
        <v>284</v>
      </c>
      <c r="K75" s="226"/>
      <c r="L75" s="226"/>
      <c r="M75" s="226"/>
      <c r="N75" s="225"/>
      <c r="O75" s="225"/>
      <c r="P75" s="225"/>
      <c r="Q75" s="225"/>
      <c r="R75" s="225"/>
      <c r="S75" s="225"/>
      <c r="T75" s="225"/>
      <c r="U75" s="225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4"/>
      <c r="B76" s="225"/>
      <c r="C76" s="225"/>
      <c r="D76" s="225"/>
      <c r="E76" s="227"/>
      <c r="F76" s="227"/>
      <c r="G76" s="227"/>
      <c r="H76" s="225"/>
      <c r="I76" s="225"/>
      <c r="J76" s="226"/>
      <c r="K76" s="226"/>
      <c r="L76" s="226"/>
      <c r="M76" s="226"/>
      <c r="N76" s="225"/>
      <c r="O76" s="225"/>
      <c r="P76" s="225"/>
      <c r="Q76" s="225"/>
      <c r="R76" s="225"/>
      <c r="S76" s="225"/>
      <c r="T76" s="225"/>
      <c r="U76" s="225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4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4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/>
    <row r="80" spans="1:3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ht="15" hidden="1" customHeight="1" x14ac:dyDescent="0.25"/>
    <row r="96" x14ac:dyDescent="0.25"/>
    <row r="109" ht="15" hidden="1" customHeight="1" x14ac:dyDescent="0.25"/>
    <row r="110" ht="15" hidden="1" customHeight="1" x14ac:dyDescent="0.25"/>
    <row r="127" x14ac:dyDescent="0.25"/>
    <row r="128" x14ac:dyDescent="0.25"/>
  </sheetData>
  <mergeCells count="64">
    <mergeCell ref="B10:B13"/>
    <mergeCell ref="J10:O10"/>
    <mergeCell ref="J11:M11"/>
    <mergeCell ref="J12:O12"/>
    <mergeCell ref="J13:L13"/>
    <mergeCell ref="M13:M14"/>
    <mergeCell ref="N13:N14"/>
    <mergeCell ref="O26:O27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73:G73"/>
    <mergeCell ref="J73:M73"/>
    <mergeCell ref="B63:U63"/>
    <mergeCell ref="H26:H27"/>
    <mergeCell ref="I26:I27"/>
    <mergeCell ref="N26:N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D276"/>
  <sheetViews>
    <sheetView showGridLines="0" zoomScale="80" zoomScaleNormal="80" zoomScaleSheetLayoutView="80" workbookViewId="0">
      <selection activeCell="C69" sqref="C6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197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46789791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196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176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1070</v>
      </c>
      <c r="G15" s="63">
        <f>SUM(D15:F15)</f>
        <v>1070</v>
      </c>
      <c r="H15" s="66">
        <v>125.3</v>
      </c>
      <c r="I15" s="14">
        <f>G15+H15</f>
        <v>1195.3</v>
      </c>
      <c r="J15" s="687"/>
      <c r="K15" s="686"/>
      <c r="L15" s="685">
        <v>550</v>
      </c>
      <c r="M15" s="684">
        <f>SUM(J15:L15)</f>
        <v>550</v>
      </c>
      <c r="N15" s="679">
        <v>220</v>
      </c>
      <c r="O15" s="621">
        <f>M15+N15</f>
        <v>770</v>
      </c>
      <c r="P15" s="12"/>
      <c r="Q15" s="13"/>
      <c r="R15" s="646">
        <v>594.5</v>
      </c>
      <c r="S15" s="63">
        <f>SUM(P15:R15)</f>
        <v>594.5</v>
      </c>
      <c r="T15" s="66">
        <v>42.2</v>
      </c>
      <c r="U15" s="14">
        <f>S15+T15</f>
        <v>636.70000000000005</v>
      </c>
      <c r="V15" s="12"/>
      <c r="W15" s="13"/>
      <c r="X15" s="56">
        <v>700</v>
      </c>
      <c r="Y15" s="63">
        <f>SUM(V15:X15)</f>
        <v>700</v>
      </c>
      <c r="Z15" s="66">
        <v>80</v>
      </c>
      <c r="AA15" s="14">
        <f>Y15+Z15</f>
        <v>780</v>
      </c>
      <c r="AB15" s="620">
        <f>IFERROR(AA15/O15,0)</f>
        <v>1.0129870129870129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4866.8</v>
      </c>
      <c r="E16" s="16"/>
      <c r="F16" s="16"/>
      <c r="G16" s="64">
        <f>SUM(D16:F16)</f>
        <v>4866.8</v>
      </c>
      <c r="H16" s="67"/>
      <c r="I16" s="14">
        <f>G16+H16</f>
        <v>4866.8</v>
      </c>
      <c r="J16" s="683">
        <v>5312.8</v>
      </c>
      <c r="K16" s="674"/>
      <c r="L16" s="674"/>
      <c r="M16" s="672">
        <f>SUM(J16:L16)</f>
        <v>5312.8</v>
      </c>
      <c r="N16" s="682"/>
      <c r="O16" s="621">
        <f>M16+N16</f>
        <v>5312.8</v>
      </c>
      <c r="P16" s="57">
        <v>2500.1999999999998</v>
      </c>
      <c r="Q16" s="645"/>
      <c r="R16" s="16"/>
      <c r="S16" s="64">
        <f>SUM(P16:R16)</f>
        <v>2500.1999999999998</v>
      </c>
      <c r="T16" s="67"/>
      <c r="U16" s="14">
        <f>S16+T16</f>
        <v>2500.1999999999998</v>
      </c>
      <c r="V16" s="57">
        <v>5100</v>
      </c>
      <c r="W16" s="16"/>
      <c r="X16" s="16"/>
      <c r="Y16" s="64">
        <f>SUM(V16:X16)</f>
        <v>5100</v>
      </c>
      <c r="Z16" s="67"/>
      <c r="AA16" s="14">
        <f>Y16+Z16</f>
        <v>5100</v>
      </c>
      <c r="AB16" s="620">
        <f>IFERROR(AA16/O16,0)</f>
        <v>0.95994579129649149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168.3</v>
      </c>
      <c r="E17" s="17"/>
      <c r="F17" s="17"/>
      <c r="G17" s="64">
        <f>SUM(D17:F17)</f>
        <v>168.3</v>
      </c>
      <c r="H17" s="68"/>
      <c r="I17" s="14">
        <f>G17+H17</f>
        <v>168.3</v>
      </c>
      <c r="J17" s="421">
        <v>172.9</v>
      </c>
      <c r="K17" s="677"/>
      <c r="L17" s="677"/>
      <c r="M17" s="672">
        <f>SUM(J17:L17)</f>
        <v>172.9</v>
      </c>
      <c r="N17" s="681"/>
      <c r="O17" s="621">
        <f>M17+N17</f>
        <v>172.9</v>
      </c>
      <c r="P17" s="58">
        <v>172.9</v>
      </c>
      <c r="Q17" s="17"/>
      <c r="R17" s="17"/>
      <c r="S17" s="64">
        <f>SUM(P17:R17)</f>
        <v>172.9</v>
      </c>
      <c r="T17" s="68"/>
      <c r="U17" s="14">
        <f>S17+T17</f>
        <v>172.9</v>
      </c>
      <c r="V17" s="58">
        <v>120.8</v>
      </c>
      <c r="W17" s="17"/>
      <c r="X17" s="17"/>
      <c r="Y17" s="64">
        <f>SUM(V17:X17)</f>
        <v>120.8</v>
      </c>
      <c r="Z17" s="68"/>
      <c r="AA17" s="14">
        <f>Y17+Z17</f>
        <v>120.8</v>
      </c>
      <c r="AB17" s="620">
        <f>IFERROR(AA17/O17,0)</f>
        <v>0.69866975130133024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56244.7</v>
      </c>
      <c r="F18" s="17"/>
      <c r="G18" s="64">
        <f>SUM(D18:F18)</f>
        <v>56244.7</v>
      </c>
      <c r="H18" s="66">
        <v>0</v>
      </c>
      <c r="I18" s="14">
        <f>G18+H18</f>
        <v>56244.7</v>
      </c>
      <c r="J18" s="675"/>
      <c r="K18" s="680">
        <v>54521.7</v>
      </c>
      <c r="L18" s="677"/>
      <c r="M18" s="672">
        <f>SUM(J18:L18)</f>
        <v>54521.7</v>
      </c>
      <c r="N18" s="679">
        <v>0</v>
      </c>
      <c r="O18" s="621">
        <f>M18+N18</f>
        <v>54521.7</v>
      </c>
      <c r="P18" s="18"/>
      <c r="Q18" s="59">
        <v>32727.9</v>
      </c>
      <c r="R18" s="17"/>
      <c r="S18" s="64">
        <f>SUM(P18:R18)</f>
        <v>32727.9</v>
      </c>
      <c r="T18" s="66">
        <v>0</v>
      </c>
      <c r="U18" s="14">
        <f>S18+T18</f>
        <v>32727.9</v>
      </c>
      <c r="V18" s="18"/>
      <c r="W18" s="59">
        <v>57884</v>
      </c>
      <c r="X18" s="17"/>
      <c r="Y18" s="64">
        <f>SUM(V18:X18)</f>
        <v>57884</v>
      </c>
      <c r="Z18" s="66">
        <v>0</v>
      </c>
      <c r="AA18" s="14">
        <f>Y18+Z18</f>
        <v>57884</v>
      </c>
      <c r="AB18" s="620">
        <f>IFERROR(AA18/O18,0)</f>
        <v>1.0616690235264126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0</v>
      </c>
      <c r="G19" s="64">
        <f>SUM(D19:F19)</f>
        <v>0</v>
      </c>
      <c r="H19" s="69">
        <v>0</v>
      </c>
      <c r="I19" s="14">
        <f>G19+H19</f>
        <v>0</v>
      </c>
      <c r="J19" s="678"/>
      <c r="K19" s="677"/>
      <c r="L19" s="415">
        <v>0</v>
      </c>
      <c r="M19" s="672">
        <f>SUM(J19:L19)</f>
        <v>0</v>
      </c>
      <c r="N19" s="676">
        <v>0</v>
      </c>
      <c r="O19" s="621">
        <f>M19+N19</f>
        <v>0</v>
      </c>
      <c r="P19" s="19"/>
      <c r="Q19" s="17"/>
      <c r="R19" s="60">
        <v>0</v>
      </c>
      <c r="S19" s="64">
        <f>SUM(P19:R19)</f>
        <v>0</v>
      </c>
      <c r="T19" s="69">
        <v>0</v>
      </c>
      <c r="U19" s="14">
        <f>S19+T19</f>
        <v>0</v>
      </c>
      <c r="V19" s="19"/>
      <c r="W19" s="17"/>
      <c r="X19" s="60">
        <v>0</v>
      </c>
      <c r="Y19" s="64">
        <f>SUM(V19:X19)</f>
        <v>0</v>
      </c>
      <c r="Z19" s="69">
        <v>0</v>
      </c>
      <c r="AA19" s="14">
        <f>Y19+Z19</f>
        <v>0</v>
      </c>
      <c r="AB19" s="620">
        <f>IFERROR(AA19/O19,0)</f>
        <v>0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490.9</v>
      </c>
      <c r="G20" s="64">
        <f>SUM(D20:F20)</f>
        <v>490.9</v>
      </c>
      <c r="H20" s="69">
        <v>0</v>
      </c>
      <c r="I20" s="14">
        <f>G20+H20</f>
        <v>490.9</v>
      </c>
      <c r="J20" s="675"/>
      <c r="K20" s="674"/>
      <c r="L20" s="673">
        <v>250</v>
      </c>
      <c r="M20" s="672">
        <f>SUM(J20:L20)</f>
        <v>250</v>
      </c>
      <c r="N20" s="676">
        <v>0</v>
      </c>
      <c r="O20" s="621">
        <f>M20+N20</f>
        <v>250</v>
      </c>
      <c r="P20" s="18"/>
      <c r="Q20" s="16"/>
      <c r="R20" s="61">
        <v>215.8</v>
      </c>
      <c r="S20" s="64">
        <f>SUM(P20:R20)</f>
        <v>215.8</v>
      </c>
      <c r="T20" s="69">
        <v>0</v>
      </c>
      <c r="U20" s="14">
        <f>S20+T20</f>
        <v>215.8</v>
      </c>
      <c r="V20" s="18"/>
      <c r="W20" s="16"/>
      <c r="X20" s="61">
        <v>300</v>
      </c>
      <c r="Y20" s="64">
        <f>SUM(V20:X20)</f>
        <v>300</v>
      </c>
      <c r="Z20" s="69">
        <v>0</v>
      </c>
      <c r="AA20" s="14">
        <f>Y20+Z20</f>
        <v>300</v>
      </c>
      <c r="AB20" s="620">
        <f>IFERROR(AA20/O20,0)</f>
        <v>1.2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346.7</v>
      </c>
      <c r="G21" s="64">
        <f>SUM(D21:F21)</f>
        <v>346.7</v>
      </c>
      <c r="H21" s="70">
        <v>542.4</v>
      </c>
      <c r="I21" s="14">
        <f>G21+H21</f>
        <v>889.09999999999991</v>
      </c>
      <c r="J21" s="675"/>
      <c r="K21" s="674"/>
      <c r="L21" s="673">
        <v>350</v>
      </c>
      <c r="M21" s="672">
        <f>SUM(J21:L21)</f>
        <v>350</v>
      </c>
      <c r="N21" s="671">
        <v>360</v>
      </c>
      <c r="O21" s="621">
        <f>M21+N21</f>
        <v>710</v>
      </c>
      <c r="P21" s="18"/>
      <c r="Q21" s="16"/>
      <c r="R21" s="61">
        <v>179.7</v>
      </c>
      <c r="S21" s="64">
        <f>SUM(P21:R21)</f>
        <v>179.7</v>
      </c>
      <c r="T21" s="70">
        <v>295.2</v>
      </c>
      <c r="U21" s="14">
        <f>S21+T21</f>
        <v>474.9</v>
      </c>
      <c r="V21" s="18"/>
      <c r="W21" s="16"/>
      <c r="X21" s="61">
        <v>280</v>
      </c>
      <c r="Y21" s="64">
        <f>SUM(V21:X21)</f>
        <v>280</v>
      </c>
      <c r="Z21" s="70">
        <v>360</v>
      </c>
      <c r="AA21" s="14">
        <f>Y21+Z21</f>
        <v>640</v>
      </c>
      <c r="AB21" s="620">
        <f>IFERROR(AA21/O21,0)</f>
        <v>0.90140845070422537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>SUM(D22:F22)</f>
        <v>0</v>
      </c>
      <c r="H22" s="70">
        <v>542.4</v>
      </c>
      <c r="I22" s="14">
        <f>G22+H22</f>
        <v>542.4</v>
      </c>
      <c r="J22" s="675"/>
      <c r="K22" s="674"/>
      <c r="L22" s="673">
        <v>0</v>
      </c>
      <c r="M22" s="672">
        <f>SUM(J22:L22)</f>
        <v>0</v>
      </c>
      <c r="N22" s="671">
        <v>360</v>
      </c>
      <c r="O22" s="621">
        <f>M22+N22</f>
        <v>360</v>
      </c>
      <c r="P22" s="18"/>
      <c r="Q22" s="16"/>
      <c r="R22" s="61">
        <v>0</v>
      </c>
      <c r="S22" s="64">
        <f>SUM(P22:R22)</f>
        <v>0</v>
      </c>
      <c r="T22" s="70">
        <v>295.2</v>
      </c>
      <c r="U22" s="14">
        <f>S22+T22</f>
        <v>295.2</v>
      </c>
      <c r="V22" s="18"/>
      <c r="W22" s="16"/>
      <c r="X22" s="61">
        <v>0</v>
      </c>
      <c r="Y22" s="64">
        <f>SUM(V22:X22)</f>
        <v>0</v>
      </c>
      <c r="Z22" s="70">
        <v>360</v>
      </c>
      <c r="AA22" s="14">
        <f>Y22+Z22</f>
        <v>360</v>
      </c>
      <c r="AB22" s="620">
        <f>IFERROR(AA22/O22,0)</f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0</v>
      </c>
      <c r="G23" s="64">
        <f>SUM(D23:F23)</f>
        <v>0</v>
      </c>
      <c r="H23" s="71">
        <v>0</v>
      </c>
      <c r="I23" s="23">
        <f>G23+H23</f>
        <v>0</v>
      </c>
      <c r="J23" s="670"/>
      <c r="K23" s="669"/>
      <c r="L23" s="668">
        <v>0</v>
      </c>
      <c r="M23" s="667">
        <f>SUM(J23:L23)</f>
        <v>0</v>
      </c>
      <c r="N23" s="666">
        <v>0</v>
      </c>
      <c r="O23" s="619">
        <f>M23+N23</f>
        <v>0</v>
      </c>
      <c r="P23" s="21"/>
      <c r="Q23" s="22"/>
      <c r="R23" s="62">
        <v>0</v>
      </c>
      <c r="S23" s="65">
        <f>SUM(P23:R23)</f>
        <v>0</v>
      </c>
      <c r="T23" s="71">
        <v>0</v>
      </c>
      <c r="U23" s="23">
        <f>S23+T23</f>
        <v>0</v>
      </c>
      <c r="V23" s="21"/>
      <c r="W23" s="22"/>
      <c r="X23" s="62">
        <v>0</v>
      </c>
      <c r="Y23" s="65">
        <f>SUM(V23:X23)</f>
        <v>0</v>
      </c>
      <c r="Z23" s="71">
        <v>0</v>
      </c>
      <c r="AA23" s="23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5035.1000000000004</v>
      </c>
      <c r="E24" s="27">
        <f>SUM(E15:E21)</f>
        <v>56244.7</v>
      </c>
      <c r="F24" s="27">
        <f>SUM(F15:F21)</f>
        <v>1907.6000000000001</v>
      </c>
      <c r="G24" s="28">
        <f>SUM(D24:F24)</f>
        <v>63187.399999999994</v>
      </c>
      <c r="H24" s="29">
        <f>SUM(H15:H21)</f>
        <v>667.69999999999993</v>
      </c>
      <c r="I24" s="29">
        <f>SUM(I15:I21)</f>
        <v>63855.1</v>
      </c>
      <c r="J24" s="665">
        <f>SUM(J15:J21)</f>
        <v>5485.7</v>
      </c>
      <c r="K24" s="664">
        <f>SUM(K15:K21)</f>
        <v>54521.7</v>
      </c>
      <c r="L24" s="664">
        <f>SUM(L15:L21)</f>
        <v>1150</v>
      </c>
      <c r="M24" s="663">
        <f>SUM(J24:L24)</f>
        <v>61157.399999999994</v>
      </c>
      <c r="N24" s="644">
        <f>SUM(N15:N21)</f>
        <v>580</v>
      </c>
      <c r="O24" s="644">
        <f>SUM(O15:O21)</f>
        <v>61737.399999999994</v>
      </c>
      <c r="P24" s="26">
        <f>SUM(P15:P21)</f>
        <v>2673.1</v>
      </c>
      <c r="Q24" s="27">
        <f>SUM(Q15:Q21)</f>
        <v>32727.9</v>
      </c>
      <c r="R24" s="27">
        <f>SUM(R15:R21)</f>
        <v>990</v>
      </c>
      <c r="S24" s="28">
        <f>SUM(P24:R24)</f>
        <v>36391</v>
      </c>
      <c r="T24" s="29">
        <f>SUM(T15:T21)</f>
        <v>337.4</v>
      </c>
      <c r="U24" s="29">
        <f>SUM(U15:U21)</f>
        <v>36728.400000000009</v>
      </c>
      <c r="V24" s="26">
        <f>SUM(V15:V21)</f>
        <v>5220.8</v>
      </c>
      <c r="W24" s="27">
        <f>SUM(W15:W21)</f>
        <v>57884</v>
      </c>
      <c r="X24" s="27">
        <f>SUM(X15:X21)</f>
        <v>1280</v>
      </c>
      <c r="Y24" s="28">
        <f>SUM(V24:X24)</f>
        <v>64384.800000000003</v>
      </c>
      <c r="Z24" s="29">
        <f>SUM(Z15:Z21)</f>
        <v>440</v>
      </c>
      <c r="AA24" s="29">
        <f>SUM(AA15:AA21)</f>
        <v>64824.800000000003</v>
      </c>
      <c r="AB24" s="643">
        <f>IFERROR(AA24/O24,0)</f>
        <v>1.0500085847476572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638" t="s">
        <v>176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632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625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536.29999999999995</v>
      </c>
      <c r="E28" s="72">
        <v>0</v>
      </c>
      <c r="F28" s="72">
        <v>59.4</v>
      </c>
      <c r="G28" s="73">
        <f>SUM(D28:F28)</f>
        <v>595.69999999999993</v>
      </c>
      <c r="H28" s="73">
        <v>63.3</v>
      </c>
      <c r="I28" s="37">
        <f>G28+H28</f>
        <v>658.99999999999989</v>
      </c>
      <c r="J28" s="662">
        <v>475</v>
      </c>
      <c r="K28" s="661">
        <v>0</v>
      </c>
      <c r="L28" s="661">
        <v>320</v>
      </c>
      <c r="M28" s="660">
        <f>SUM(J28:L28)</f>
        <v>795</v>
      </c>
      <c r="N28" s="660">
        <v>130</v>
      </c>
      <c r="O28" s="624">
        <f>M28+N28</f>
        <v>925</v>
      </c>
      <c r="P28" s="80">
        <v>42.2</v>
      </c>
      <c r="Q28" s="72">
        <v>0</v>
      </c>
      <c r="R28" s="72">
        <v>0</v>
      </c>
      <c r="S28" s="73">
        <f>SUM(P28:R28)</f>
        <v>42.2</v>
      </c>
      <c r="T28" s="73">
        <v>0</v>
      </c>
      <c r="U28" s="37">
        <f>S28+T28</f>
        <v>42.2</v>
      </c>
      <c r="V28" s="80">
        <v>475</v>
      </c>
      <c r="W28" s="72">
        <v>0</v>
      </c>
      <c r="X28" s="72">
        <v>310</v>
      </c>
      <c r="Y28" s="73">
        <f>SUM(V28:X28)</f>
        <v>785</v>
      </c>
      <c r="Z28" s="73">
        <v>95.5</v>
      </c>
      <c r="AA28" s="37">
        <f>Y28+Z28</f>
        <v>880.5</v>
      </c>
      <c r="AB28" s="620">
        <f>IFERROR(AA28/O28,0)</f>
        <v>0.95189189189189194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621</v>
      </c>
      <c r="E29" s="74">
        <v>410.4</v>
      </c>
      <c r="F29" s="74">
        <v>1088.7</v>
      </c>
      <c r="G29" s="75">
        <f>SUM(D29:F29)</f>
        <v>2120.1000000000004</v>
      </c>
      <c r="H29" s="76">
        <v>71.8</v>
      </c>
      <c r="I29" s="14">
        <f>G29+H29</f>
        <v>2191.9000000000005</v>
      </c>
      <c r="J29" s="659">
        <v>545</v>
      </c>
      <c r="K29" s="658">
        <v>300</v>
      </c>
      <c r="L29" s="658">
        <v>550</v>
      </c>
      <c r="M29" s="654">
        <f>SUM(J29:L29)</f>
        <v>1395</v>
      </c>
      <c r="N29" s="657">
        <v>150</v>
      </c>
      <c r="O29" s="621">
        <f>M29+N29</f>
        <v>1545</v>
      </c>
      <c r="P29" s="81">
        <v>355</v>
      </c>
      <c r="Q29" s="74">
        <v>191</v>
      </c>
      <c r="R29" s="74">
        <v>600.5</v>
      </c>
      <c r="S29" s="75">
        <f>SUM(P29:R29)</f>
        <v>1146.5</v>
      </c>
      <c r="T29" s="76">
        <v>16.399999999999999</v>
      </c>
      <c r="U29" s="14">
        <f>S29+T29</f>
        <v>1162.9000000000001</v>
      </c>
      <c r="V29" s="81">
        <v>530</v>
      </c>
      <c r="W29" s="74">
        <v>400</v>
      </c>
      <c r="X29" s="74">
        <v>700</v>
      </c>
      <c r="Y29" s="75">
        <f>SUM(V29:X29)</f>
        <v>1630</v>
      </c>
      <c r="Z29" s="76">
        <v>100</v>
      </c>
      <c r="AA29" s="14">
        <f>Y29+Z29</f>
        <v>1730</v>
      </c>
      <c r="AB29" s="620">
        <f>IFERROR(AA29/O29,0)</f>
        <v>1.1197411003236246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1752.5</v>
      </c>
      <c r="E30" s="77">
        <v>0</v>
      </c>
      <c r="F30" s="77">
        <v>0</v>
      </c>
      <c r="G30" s="75">
        <f>SUM(D30:F30)</f>
        <v>1752.5</v>
      </c>
      <c r="H30" s="75">
        <v>278.7</v>
      </c>
      <c r="I30" s="14">
        <f>G30+H30</f>
        <v>2031.2</v>
      </c>
      <c r="J30" s="656">
        <v>2360.3000000000002</v>
      </c>
      <c r="K30" s="486">
        <v>0</v>
      </c>
      <c r="L30" s="655">
        <v>0</v>
      </c>
      <c r="M30" s="654">
        <f>SUM(J30:L30)</f>
        <v>2360.3000000000002</v>
      </c>
      <c r="N30" s="654">
        <v>150</v>
      </c>
      <c r="O30" s="621">
        <f>M30+N30</f>
        <v>2510.3000000000002</v>
      </c>
      <c r="P30" s="82">
        <v>1631.7</v>
      </c>
      <c r="Q30" s="77">
        <v>0</v>
      </c>
      <c r="R30" s="77">
        <v>0</v>
      </c>
      <c r="S30" s="75">
        <f>SUM(P30:R30)</f>
        <v>1631.7</v>
      </c>
      <c r="T30" s="75">
        <v>0</v>
      </c>
      <c r="U30" s="14">
        <f>S30+T30</f>
        <v>1631.7</v>
      </c>
      <c r="V30" s="82">
        <v>2147.5</v>
      </c>
      <c r="W30" s="77">
        <v>0</v>
      </c>
      <c r="X30" s="77">
        <v>0</v>
      </c>
      <c r="Y30" s="75">
        <f>SUM(V30:X30)</f>
        <v>2147.5</v>
      </c>
      <c r="Z30" s="75">
        <v>130</v>
      </c>
      <c r="AA30" s="14">
        <f>Y30+Z30</f>
        <v>2277.5</v>
      </c>
      <c r="AB30" s="620">
        <f>IFERROR(AA30/O30,0)</f>
        <v>0.90726208022945454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1018.1</v>
      </c>
      <c r="E31" s="77">
        <v>72.400000000000006</v>
      </c>
      <c r="F31" s="77">
        <v>31.5</v>
      </c>
      <c r="G31" s="75">
        <f>SUM(D31:F31)</f>
        <v>1122</v>
      </c>
      <c r="H31" s="75">
        <v>45.2</v>
      </c>
      <c r="I31" s="14">
        <f>G31+H31</f>
        <v>1167.2</v>
      </c>
      <c r="J31" s="656">
        <v>887</v>
      </c>
      <c r="K31" s="655">
        <v>50</v>
      </c>
      <c r="L31" s="655">
        <v>0</v>
      </c>
      <c r="M31" s="654">
        <f>SUM(J31:L31)</f>
        <v>937</v>
      </c>
      <c r="N31" s="654">
        <v>80</v>
      </c>
      <c r="O31" s="621">
        <f>M31+N31</f>
        <v>1017</v>
      </c>
      <c r="P31" s="82">
        <v>399.5</v>
      </c>
      <c r="Q31" s="77">
        <v>120</v>
      </c>
      <c r="R31" s="77">
        <v>1.1000000000000001</v>
      </c>
      <c r="S31" s="75">
        <f>SUM(P31:R31)</f>
        <v>520.6</v>
      </c>
      <c r="T31" s="75">
        <v>0</v>
      </c>
      <c r="U31" s="14">
        <f>S31+T31</f>
        <v>520.6</v>
      </c>
      <c r="V31" s="82">
        <v>887</v>
      </c>
      <c r="W31" s="77">
        <v>200</v>
      </c>
      <c r="X31" s="77">
        <v>0</v>
      </c>
      <c r="Y31" s="75">
        <f>SUM(V31:X31)</f>
        <v>1087</v>
      </c>
      <c r="Z31" s="75">
        <v>80</v>
      </c>
      <c r="AA31" s="14">
        <f>Y31+Z31</f>
        <v>1167</v>
      </c>
      <c r="AB31" s="620">
        <f>IFERROR(AA31/O31,0)</f>
        <v>1.1474926253687316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70</v>
      </c>
      <c r="E32" s="77">
        <v>40667.5</v>
      </c>
      <c r="F32" s="77">
        <v>28.5</v>
      </c>
      <c r="G32" s="75">
        <f>SUM(D32:F32)</f>
        <v>40766</v>
      </c>
      <c r="H32" s="75">
        <v>43.2</v>
      </c>
      <c r="I32" s="14">
        <f>G32+H32</f>
        <v>40809.199999999997</v>
      </c>
      <c r="J32" s="656">
        <v>72.8</v>
      </c>
      <c r="K32" s="655">
        <v>39447.300000000003</v>
      </c>
      <c r="L32" s="655">
        <v>0</v>
      </c>
      <c r="M32" s="654">
        <f>SUM(J32:L32)</f>
        <v>39520.100000000006</v>
      </c>
      <c r="N32" s="654">
        <v>50</v>
      </c>
      <c r="O32" s="621">
        <f>M32+N32</f>
        <v>39570.100000000006</v>
      </c>
      <c r="P32" s="83">
        <v>0</v>
      </c>
      <c r="Q32" s="77">
        <v>20850</v>
      </c>
      <c r="R32" s="77">
        <v>0</v>
      </c>
      <c r="S32" s="75">
        <f>SUM(P32:R32)</f>
        <v>20850</v>
      </c>
      <c r="T32" s="75">
        <v>0</v>
      </c>
      <c r="U32" s="14">
        <f>S32+T32</f>
        <v>20850</v>
      </c>
      <c r="V32" s="83">
        <v>82.2</v>
      </c>
      <c r="W32" s="77">
        <f>SUM(W33:W34)</f>
        <v>42038</v>
      </c>
      <c r="X32" s="77">
        <v>0</v>
      </c>
      <c r="Y32" s="75">
        <f>SUM(V32:X32)</f>
        <v>42120.2</v>
      </c>
      <c r="Z32" s="75">
        <v>25</v>
      </c>
      <c r="AA32" s="14">
        <f>Y32+Z32</f>
        <v>42145.2</v>
      </c>
      <c r="AB32" s="620">
        <f>IFERROR(AA32/O32,0)</f>
        <v>1.0650769141346621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70</v>
      </c>
      <c r="E33" s="77">
        <v>40272.1</v>
      </c>
      <c r="F33" s="77">
        <v>28.5</v>
      </c>
      <c r="G33" s="75">
        <f>SUM(D33:F33)</f>
        <v>40370.6</v>
      </c>
      <c r="H33" s="75">
        <v>43.2</v>
      </c>
      <c r="I33" s="14">
        <f>G33+H33</f>
        <v>40413.799999999996</v>
      </c>
      <c r="J33" s="656">
        <v>72.8</v>
      </c>
      <c r="K33" s="655">
        <v>39206.699999999997</v>
      </c>
      <c r="L33" s="655">
        <v>0</v>
      </c>
      <c r="M33" s="654">
        <f>SUM(J33:L33)</f>
        <v>39279.5</v>
      </c>
      <c r="N33" s="654">
        <v>50</v>
      </c>
      <c r="O33" s="621">
        <f>M33+N33</f>
        <v>39329.5</v>
      </c>
      <c r="P33" s="83">
        <v>0</v>
      </c>
      <c r="Q33" s="77">
        <v>20767.5</v>
      </c>
      <c r="R33" s="77">
        <v>0</v>
      </c>
      <c r="S33" s="75">
        <f>SUM(P33:R33)</f>
        <v>20767.5</v>
      </c>
      <c r="T33" s="75">
        <v>0</v>
      </c>
      <c r="U33" s="14">
        <f>S33+T33</f>
        <v>20767.5</v>
      </c>
      <c r="V33" s="83">
        <v>82.2</v>
      </c>
      <c r="W33" s="77">
        <v>41858</v>
      </c>
      <c r="X33" s="77">
        <v>0</v>
      </c>
      <c r="Y33" s="75">
        <f>SUM(V33:X33)</f>
        <v>41940.199999999997</v>
      </c>
      <c r="Z33" s="75">
        <v>25</v>
      </c>
      <c r="AA33" s="14">
        <f>Y33+Z33</f>
        <v>41965.2</v>
      </c>
      <c r="AB33" s="620">
        <f>IFERROR(AA33/O33,0)</f>
        <v>1.0670158532399343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>
        <v>0</v>
      </c>
      <c r="E34" s="77">
        <v>395.4</v>
      </c>
      <c r="F34" s="77">
        <v>0</v>
      </c>
      <c r="G34" s="75">
        <f>SUM(D34:F34)</f>
        <v>395.4</v>
      </c>
      <c r="H34" s="75">
        <v>0</v>
      </c>
      <c r="I34" s="14">
        <f>G34+H34</f>
        <v>395.4</v>
      </c>
      <c r="J34" s="656">
        <v>0</v>
      </c>
      <c r="K34" s="655">
        <v>240.6</v>
      </c>
      <c r="L34" s="655">
        <v>0</v>
      </c>
      <c r="M34" s="654">
        <f>SUM(J34:L34)</f>
        <v>240.6</v>
      </c>
      <c r="N34" s="654">
        <v>0</v>
      </c>
      <c r="O34" s="621">
        <f>M34+N34</f>
        <v>240.6</v>
      </c>
      <c r="P34" s="83">
        <v>0</v>
      </c>
      <c r="Q34" s="77">
        <v>82.5</v>
      </c>
      <c r="R34" s="77">
        <v>0</v>
      </c>
      <c r="S34" s="75">
        <f>SUM(P34:R34)</f>
        <v>82.5</v>
      </c>
      <c r="T34" s="75">
        <v>0</v>
      </c>
      <c r="U34" s="14">
        <f>S34+T34</f>
        <v>82.5</v>
      </c>
      <c r="V34" s="83">
        <v>0</v>
      </c>
      <c r="W34" s="77">
        <v>180</v>
      </c>
      <c r="X34" s="77">
        <v>0</v>
      </c>
      <c r="Y34" s="75">
        <f>SUM(V34:X34)</f>
        <v>180</v>
      </c>
      <c r="Z34" s="75">
        <v>0</v>
      </c>
      <c r="AA34" s="14">
        <f>Y34+Z34</f>
        <v>180</v>
      </c>
      <c r="AB34" s="620">
        <f>IFERROR(AA34/O34,0)</f>
        <v>0.74812967581047385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25.2</v>
      </c>
      <c r="E35" s="77">
        <v>13374.1</v>
      </c>
      <c r="F35" s="77">
        <v>8</v>
      </c>
      <c r="G35" s="75">
        <f>SUM(D35:F35)</f>
        <v>13407.300000000001</v>
      </c>
      <c r="H35" s="75">
        <v>14.6</v>
      </c>
      <c r="I35" s="14">
        <f>G35+H35</f>
        <v>13421.900000000001</v>
      </c>
      <c r="J35" s="656">
        <v>24.6</v>
      </c>
      <c r="K35" s="655">
        <v>13252.3</v>
      </c>
      <c r="L35" s="655">
        <v>0</v>
      </c>
      <c r="M35" s="654">
        <f>SUM(J35:L35)</f>
        <v>13276.9</v>
      </c>
      <c r="N35" s="654">
        <v>16</v>
      </c>
      <c r="O35" s="621">
        <f>M35+N35</f>
        <v>13292.9</v>
      </c>
      <c r="P35" s="83">
        <v>4.7</v>
      </c>
      <c r="Q35" s="77">
        <v>6870</v>
      </c>
      <c r="R35" s="77">
        <v>0</v>
      </c>
      <c r="S35" s="75">
        <f>SUM(P35:R35)</f>
        <v>6874.7</v>
      </c>
      <c r="T35" s="75">
        <v>0</v>
      </c>
      <c r="U35" s="14">
        <f>S35+T35</f>
        <v>6874.7</v>
      </c>
      <c r="V35" s="83">
        <v>27.8</v>
      </c>
      <c r="W35" s="77">
        <v>14148</v>
      </c>
      <c r="X35" s="77">
        <v>0</v>
      </c>
      <c r="Y35" s="75">
        <f>SUM(V35:X35)</f>
        <v>14175.8</v>
      </c>
      <c r="Z35" s="75">
        <v>8.5</v>
      </c>
      <c r="AA35" s="14">
        <f>Y35+Z35</f>
        <v>14184.3</v>
      </c>
      <c r="AB35" s="620">
        <f>IFERROR(AA35/O35,0)</f>
        <v>1.0670583544598997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0</v>
      </c>
      <c r="G36" s="75">
        <f>SUM(D36:F36)</f>
        <v>0</v>
      </c>
      <c r="H36" s="75">
        <v>0</v>
      </c>
      <c r="I36" s="14">
        <f>G36+H36</f>
        <v>0</v>
      </c>
      <c r="J36" s="656">
        <v>0</v>
      </c>
      <c r="K36" s="655">
        <v>0</v>
      </c>
      <c r="L36" s="655">
        <v>30</v>
      </c>
      <c r="M36" s="654">
        <f>SUM(J36:L36)</f>
        <v>30</v>
      </c>
      <c r="N36" s="654">
        <v>0</v>
      </c>
      <c r="O36" s="621">
        <f>M36+N36</f>
        <v>30</v>
      </c>
      <c r="P36" s="82">
        <v>0</v>
      </c>
      <c r="Q36" s="77">
        <v>0</v>
      </c>
      <c r="R36" s="77">
        <v>8.1999999999999993</v>
      </c>
      <c r="S36" s="75">
        <f>SUM(P36:R36)</f>
        <v>8.1999999999999993</v>
      </c>
      <c r="T36" s="75">
        <v>0</v>
      </c>
      <c r="U36" s="14">
        <f>S36+T36</f>
        <v>8.1999999999999993</v>
      </c>
      <c r="V36" s="82">
        <v>0</v>
      </c>
      <c r="W36" s="77">
        <v>0</v>
      </c>
      <c r="X36" s="77">
        <v>20</v>
      </c>
      <c r="Y36" s="75">
        <f>SUM(V36:X36)</f>
        <v>20</v>
      </c>
      <c r="Z36" s="75">
        <v>0</v>
      </c>
      <c r="AA36" s="14">
        <f>Y36+Z36</f>
        <v>20</v>
      </c>
      <c r="AB36" s="620">
        <f>IFERROR(AA36/O36,0)</f>
        <v>0.66666666666666663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854.8</v>
      </c>
      <c r="E37" s="77">
        <v>0</v>
      </c>
      <c r="F37" s="77">
        <v>0</v>
      </c>
      <c r="G37" s="75">
        <f>SUM(D37:F37)</f>
        <v>854.8</v>
      </c>
      <c r="H37" s="75">
        <v>0</v>
      </c>
      <c r="I37" s="14">
        <f>G37+H37</f>
        <v>854.8</v>
      </c>
      <c r="J37" s="656">
        <v>854.8</v>
      </c>
      <c r="K37" s="655">
        <v>0</v>
      </c>
      <c r="L37" s="655">
        <v>0</v>
      </c>
      <c r="M37" s="654">
        <f>SUM(J37:L37)</f>
        <v>854.8</v>
      </c>
      <c r="N37" s="654">
        <v>0</v>
      </c>
      <c r="O37" s="621">
        <f>M37+N37</f>
        <v>854.8</v>
      </c>
      <c r="P37" s="82">
        <v>435.9</v>
      </c>
      <c r="Q37" s="77">
        <v>0</v>
      </c>
      <c r="R37" s="77">
        <v>0</v>
      </c>
      <c r="S37" s="75">
        <f>SUM(P37:R37)</f>
        <v>435.9</v>
      </c>
      <c r="T37" s="75">
        <v>0</v>
      </c>
      <c r="U37" s="14">
        <f>S37+T37</f>
        <v>435.9</v>
      </c>
      <c r="V37" s="82">
        <v>810.8</v>
      </c>
      <c r="W37" s="77">
        <v>0</v>
      </c>
      <c r="X37" s="77">
        <v>0</v>
      </c>
      <c r="Y37" s="75">
        <f>SUM(V37:X37)</f>
        <v>810.8</v>
      </c>
      <c r="Z37" s="75">
        <v>0</v>
      </c>
      <c r="AA37" s="14">
        <f>Y37+Z37</f>
        <v>810.8</v>
      </c>
      <c r="AB37" s="620">
        <f>IFERROR(AA37/O37,0)</f>
        <v>0.94852597098736546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408.8</v>
      </c>
      <c r="E38" s="311">
        <v>1720.3</v>
      </c>
      <c r="F38" s="78">
        <v>439.9</v>
      </c>
      <c r="G38" s="75">
        <f>SUM(D38:F38)</f>
        <v>2569</v>
      </c>
      <c r="H38" s="79">
        <v>0.9</v>
      </c>
      <c r="I38" s="23">
        <f>G38+H38</f>
        <v>2569.9</v>
      </c>
      <c r="J38" s="653">
        <v>266.2</v>
      </c>
      <c r="K38" s="652">
        <v>1472.1</v>
      </c>
      <c r="L38" s="652">
        <v>250</v>
      </c>
      <c r="M38" s="651">
        <f>SUM(J38:L38)</f>
        <v>1988.3</v>
      </c>
      <c r="N38" s="651">
        <v>4</v>
      </c>
      <c r="O38" s="619">
        <f>M38+N38</f>
        <v>1992.3</v>
      </c>
      <c r="P38" s="84">
        <v>41.2</v>
      </c>
      <c r="Q38" s="78">
        <v>849</v>
      </c>
      <c r="R38" s="78">
        <v>210.8</v>
      </c>
      <c r="S38" s="79">
        <f>SUM(P38:R38)</f>
        <v>1101</v>
      </c>
      <c r="T38" s="79">
        <v>0</v>
      </c>
      <c r="U38" s="23">
        <f>S38+T38</f>
        <v>1101</v>
      </c>
      <c r="V38" s="84">
        <v>260.5</v>
      </c>
      <c r="W38" s="78">
        <v>1098</v>
      </c>
      <c r="X38" s="78">
        <v>250</v>
      </c>
      <c r="Y38" s="79">
        <f>SUM(V38:X38)</f>
        <v>1608.5</v>
      </c>
      <c r="Z38" s="79">
        <v>1</v>
      </c>
      <c r="AA38" s="23">
        <f>Y38+Z38</f>
        <v>1609.5</v>
      </c>
      <c r="AB38" s="618">
        <f>IFERROR(AA38/O38,0)</f>
        <v>0.80786026200873362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5286.7</v>
      </c>
      <c r="E39" s="42">
        <f>SUM(E35:E38)+SUM(E28:E32)</f>
        <v>56244.700000000004</v>
      </c>
      <c r="F39" s="42">
        <f>SUM(F35:F38)+SUM(F28:F32)</f>
        <v>1656</v>
      </c>
      <c r="G39" s="144">
        <f>SUM(D39:F39)</f>
        <v>63187.4</v>
      </c>
      <c r="H39" s="43">
        <f>SUM(H28:H32)+SUM(H35:H38)</f>
        <v>517.69999999999993</v>
      </c>
      <c r="I39" s="44">
        <f>SUM(I35:I38)+SUM(I28:I32)</f>
        <v>63705.100000000006</v>
      </c>
      <c r="J39" s="650">
        <f>SUM(J35:J38)+SUM(J28:J32)</f>
        <v>5485.7000000000007</v>
      </c>
      <c r="K39" s="650">
        <f>SUM(K35:K38)+SUM(K28:K32)</f>
        <v>54521.700000000004</v>
      </c>
      <c r="L39" s="650">
        <f>SUM(L35:L38)+SUM(L28:L32)</f>
        <v>1150</v>
      </c>
      <c r="M39" s="649">
        <f>SUM(J39:L39)</f>
        <v>61157.400000000009</v>
      </c>
      <c r="N39" s="648">
        <f>SUM(N28:N32)+SUM(N35:N38)</f>
        <v>580</v>
      </c>
      <c r="O39" s="617">
        <f>SUM(O35:O38)+SUM(O28:O32)</f>
        <v>61737.400000000009</v>
      </c>
      <c r="P39" s="42">
        <f>SUM(P35:P38)+SUM(P28:P32)</f>
        <v>2910.2</v>
      </c>
      <c r="Q39" s="42">
        <f>SUM(Q35:Q38)+SUM(Q28:Q32)</f>
        <v>28880</v>
      </c>
      <c r="R39" s="42">
        <f>SUM(R35:R38)+SUM(R28:R32)</f>
        <v>820.6</v>
      </c>
      <c r="S39" s="144">
        <f>SUM(P39:R39)</f>
        <v>32610.799999999999</v>
      </c>
      <c r="T39" s="43">
        <f>SUM(T28:T32)+SUM(T35:T38)</f>
        <v>16.399999999999999</v>
      </c>
      <c r="U39" s="44">
        <f>SUM(U35:U38)+SUM(U28:U32)</f>
        <v>32627.200000000001</v>
      </c>
      <c r="V39" s="42">
        <f>SUM(V35:V38)+SUM(V28:V32)</f>
        <v>5220.7999999999993</v>
      </c>
      <c r="W39" s="42">
        <f>SUM(W35:W38)+SUM(W28:W32)</f>
        <v>57884</v>
      </c>
      <c r="X39" s="42">
        <f>SUM(X35:X38)+SUM(X28:X32)</f>
        <v>1280</v>
      </c>
      <c r="Y39" s="144">
        <f>SUM(V39:X39)</f>
        <v>64384.800000000003</v>
      </c>
      <c r="Z39" s="43">
        <f>SUM(Z28:Z32)+SUM(Z35:Z38)</f>
        <v>440</v>
      </c>
      <c r="AA39" s="44">
        <f>SUM(AA35:AA38)+SUM(AA28:AA32)</f>
        <v>64824.799999999996</v>
      </c>
      <c r="AB39" s="616">
        <f>IFERROR(AA39/O39,0)</f>
        <v>1.0500085847476568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-251.59999999999945</v>
      </c>
      <c r="E40" s="109">
        <f>E24-E39</f>
        <v>0</v>
      </c>
      <c r="F40" s="109">
        <f>F24-F39</f>
        <v>251.60000000000014</v>
      </c>
      <c r="G40" s="118">
        <f>G24-G39</f>
        <v>0</v>
      </c>
      <c r="H40" s="118">
        <f>H24-H39</f>
        <v>150</v>
      </c>
      <c r="I40" s="119">
        <f>I24-I39</f>
        <v>149.99999999999272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0</v>
      </c>
      <c r="O40" s="614">
        <f>O24-O39</f>
        <v>0</v>
      </c>
      <c r="P40" s="109">
        <f>P24-P39</f>
        <v>-237.09999999999991</v>
      </c>
      <c r="Q40" s="109">
        <f>Q24-Q39</f>
        <v>3847.9000000000015</v>
      </c>
      <c r="R40" s="109">
        <f>R24-R39</f>
        <v>169.39999999999998</v>
      </c>
      <c r="S40" s="118">
        <f>S24-S39</f>
        <v>3780.2000000000007</v>
      </c>
      <c r="T40" s="118">
        <f>T24-T39</f>
        <v>321</v>
      </c>
      <c r="U40" s="119">
        <f>U24-U39</f>
        <v>4101.200000000008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-4716.8000000000075</v>
      </c>
      <c r="J41" s="112"/>
      <c r="K41" s="113"/>
      <c r="L41" s="113"/>
      <c r="M41" s="114"/>
      <c r="N41" s="117"/>
      <c r="O41" s="116">
        <f>O40-J16</f>
        <v>-5312.8</v>
      </c>
      <c r="P41" s="112"/>
      <c r="Q41" s="113"/>
      <c r="R41" s="113"/>
      <c r="S41" s="114"/>
      <c r="T41" s="117"/>
      <c r="U41" s="116">
        <f>U40-P16</f>
        <v>1601.0000000000082</v>
      </c>
      <c r="V41" s="112"/>
      <c r="W41" s="113"/>
      <c r="X41" s="113"/>
      <c r="Y41" s="114"/>
      <c r="Z41" s="117"/>
      <c r="AA41" s="116">
        <f>AA40-V16</f>
        <v>-5100</v>
      </c>
      <c r="AB41" s="612">
        <f>IFERROR(AA41/O41,0)</f>
        <v>0.95994579129649149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603.9</v>
      </c>
      <c r="E44" s="104">
        <v>603.9</v>
      </c>
      <c r="F44" s="105">
        <v>0</v>
      </c>
      <c r="G44" s="49"/>
      <c r="H44" s="49"/>
      <c r="I44" s="50"/>
      <c r="J44" s="94">
        <v>603.9</v>
      </c>
      <c r="K44" s="104">
        <v>603.9</v>
      </c>
      <c r="L44" s="105">
        <v>0</v>
      </c>
      <c r="M44" s="93"/>
      <c r="N44" s="93"/>
      <c r="O44" s="93"/>
      <c r="P44" s="94">
        <v>301.89999999999998</v>
      </c>
      <c r="Q44" s="104">
        <v>301.89999999999998</v>
      </c>
      <c r="R44" s="105">
        <v>0</v>
      </c>
      <c r="S44" s="4"/>
      <c r="T44" s="4"/>
      <c r="U44" s="4"/>
      <c r="V44" s="94">
        <v>603.9</v>
      </c>
      <c r="W44" s="104">
        <v>603.9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195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2372.3999999999996</v>
      </c>
      <c r="E50" s="85">
        <f>SUM(E51:E54)</f>
        <v>3968.5</v>
      </c>
      <c r="F50" s="85">
        <f>SUM(F51:F54)</f>
        <v>2287.1999999999998</v>
      </c>
      <c r="G50" s="52">
        <f>D50+E50-F50</f>
        <v>4053.7</v>
      </c>
      <c r="H50" s="49"/>
      <c r="I50" s="4"/>
      <c r="J50" s="52">
        <f>SUM(J51:J54)</f>
        <v>700</v>
      </c>
      <c r="K50" s="52">
        <f>SUM(K51:K54)</f>
        <v>1204.8</v>
      </c>
      <c r="L50" s="52">
        <f>SUM(L51:L54)</f>
        <v>1303.9000000000001</v>
      </c>
      <c r="M50" s="52">
        <f>J50+K50-L50</f>
        <v>600.89999999999986</v>
      </c>
      <c r="N50" s="4"/>
      <c r="O50" s="4"/>
      <c r="P50" s="85">
        <f>SUM(P51:P54)</f>
        <v>4053.7</v>
      </c>
      <c r="Q50" s="85">
        <f>SUM(Q51:Q54)</f>
        <v>1086.8</v>
      </c>
      <c r="R50" s="85">
        <f>SUM(R51:R54)</f>
        <v>2504.1</v>
      </c>
      <c r="S50" s="52">
        <f>P50+Q50-R50</f>
        <v>2636.4</v>
      </c>
      <c r="T50" s="691"/>
      <c r="U50" s="4"/>
      <c r="V50" s="85">
        <f>SUM(V51:V54)</f>
        <v>820</v>
      </c>
      <c r="W50" s="85">
        <f>SUM(W51:W54)</f>
        <v>1510.8</v>
      </c>
      <c r="X50" s="85">
        <f>SUM(X51:X54)</f>
        <v>1500</v>
      </c>
      <c r="Y50" s="52">
        <f>V50+W50-X50</f>
        <v>830.80000000000018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474</v>
      </c>
      <c r="E51" s="85">
        <v>2256.1</v>
      </c>
      <c r="F51" s="85">
        <v>784.1</v>
      </c>
      <c r="G51" s="52">
        <f>D51+E51-F51</f>
        <v>1946</v>
      </c>
      <c r="H51" s="49"/>
      <c r="I51" s="4"/>
      <c r="J51" s="52">
        <v>0</v>
      </c>
      <c r="K51" s="85">
        <v>0</v>
      </c>
      <c r="L51" s="85">
        <v>0</v>
      </c>
      <c r="M51" s="52">
        <f>J51+K51-L51</f>
        <v>0</v>
      </c>
      <c r="N51" s="4"/>
      <c r="O51" s="4"/>
      <c r="P51" s="85">
        <v>1946</v>
      </c>
      <c r="Q51" s="85">
        <v>413.2</v>
      </c>
      <c r="R51" s="85">
        <v>1863</v>
      </c>
      <c r="S51" s="52">
        <f>P51+Q51-R51</f>
        <v>496.19999999999982</v>
      </c>
      <c r="T51" s="4"/>
      <c r="U51" s="4"/>
      <c r="V51" s="85">
        <v>0</v>
      </c>
      <c r="W51" s="85">
        <v>300</v>
      </c>
      <c r="X51" s="85">
        <v>300</v>
      </c>
      <c r="Y51" s="52">
        <f>V51+W51-X51</f>
        <v>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1003.1</v>
      </c>
      <c r="E52" s="85">
        <v>854.8</v>
      </c>
      <c r="F52" s="85">
        <v>603.9</v>
      </c>
      <c r="G52" s="52">
        <f>D52+E52-F52</f>
        <v>1254</v>
      </c>
      <c r="H52" s="49"/>
      <c r="I52" s="4"/>
      <c r="J52" s="52">
        <v>600</v>
      </c>
      <c r="K52" s="85">
        <v>854.8</v>
      </c>
      <c r="L52" s="85">
        <v>853.9</v>
      </c>
      <c r="M52" s="52">
        <f>J52+K52-L52</f>
        <v>600.9</v>
      </c>
      <c r="N52" s="4"/>
      <c r="O52" s="4"/>
      <c r="P52" s="85">
        <v>1254</v>
      </c>
      <c r="Q52" s="85">
        <v>435.9</v>
      </c>
      <c r="R52" s="85">
        <v>403.5</v>
      </c>
      <c r="S52" s="52">
        <f>P52+Q52-R52</f>
        <v>1286.4000000000001</v>
      </c>
      <c r="T52" s="4"/>
      <c r="U52" s="4"/>
      <c r="V52" s="85">
        <v>800</v>
      </c>
      <c r="W52" s="85">
        <v>810.8</v>
      </c>
      <c r="X52" s="85">
        <v>800</v>
      </c>
      <c r="Y52" s="52">
        <f>V52+W52-X52</f>
        <v>810.8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288.10000000000002</v>
      </c>
      <c r="E53" s="85">
        <v>49.3</v>
      </c>
      <c r="F53" s="85">
        <v>4.7</v>
      </c>
      <c r="G53" s="52">
        <f>D53+E53-F53</f>
        <v>332.70000000000005</v>
      </c>
      <c r="H53" s="49"/>
      <c r="I53" s="4"/>
      <c r="J53" s="52">
        <v>0</v>
      </c>
      <c r="K53" s="85">
        <v>0</v>
      </c>
      <c r="L53" s="85">
        <v>0</v>
      </c>
      <c r="M53" s="52">
        <f>J53+K53-L53</f>
        <v>0</v>
      </c>
      <c r="N53" s="4"/>
      <c r="O53" s="4"/>
      <c r="P53" s="85">
        <v>332.7</v>
      </c>
      <c r="Q53" s="85">
        <v>30</v>
      </c>
      <c r="R53" s="85">
        <v>0</v>
      </c>
      <c r="S53" s="52">
        <f>P53+Q53-R53</f>
        <v>362.7</v>
      </c>
      <c r="T53" s="4"/>
      <c r="U53" s="4"/>
      <c r="V53" s="85">
        <v>0</v>
      </c>
      <c r="W53" s="85">
        <v>0</v>
      </c>
      <c r="X53" s="85">
        <v>0</v>
      </c>
      <c r="Y53" s="52">
        <f>V53+W53-X53</f>
        <v>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607.20000000000005</v>
      </c>
      <c r="E54" s="85">
        <v>808.3</v>
      </c>
      <c r="F54" s="85">
        <v>894.5</v>
      </c>
      <c r="G54" s="52">
        <f>D54+E54-F54</f>
        <v>521</v>
      </c>
      <c r="H54" s="49"/>
      <c r="I54" s="4"/>
      <c r="J54" s="52">
        <v>100</v>
      </c>
      <c r="K54" s="85">
        <v>350</v>
      </c>
      <c r="L54" s="85">
        <v>450</v>
      </c>
      <c r="M54" s="52">
        <f>J54+K54-L54</f>
        <v>0</v>
      </c>
      <c r="N54" s="4"/>
      <c r="O54" s="4"/>
      <c r="P54" s="85">
        <v>521</v>
      </c>
      <c r="Q54" s="85">
        <v>207.7</v>
      </c>
      <c r="R54" s="85">
        <v>237.6</v>
      </c>
      <c r="S54" s="52">
        <f>P54+Q54-R54</f>
        <v>491.1</v>
      </c>
      <c r="T54" s="4"/>
      <c r="U54" s="4"/>
      <c r="V54" s="85">
        <v>20</v>
      </c>
      <c r="W54" s="85">
        <v>400</v>
      </c>
      <c r="X54" s="85">
        <v>400</v>
      </c>
      <c r="Y54" s="52">
        <f>V54+W54-X54</f>
        <v>20</v>
      </c>
      <c r="Z54" s="691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73</v>
      </c>
      <c r="E57" s="86">
        <v>80</v>
      </c>
      <c r="F57" s="49"/>
      <c r="G57" s="49"/>
      <c r="H57" s="49"/>
      <c r="I57" s="50"/>
      <c r="J57" s="86">
        <v>76.5</v>
      </c>
      <c r="K57" s="49"/>
      <c r="L57" s="49"/>
      <c r="M57" s="49"/>
      <c r="N57" s="49"/>
      <c r="O57" s="50"/>
      <c r="P57" s="86">
        <v>79.3</v>
      </c>
      <c r="Q57" s="50"/>
      <c r="R57" s="50"/>
      <c r="S57" s="50"/>
      <c r="T57" s="50"/>
      <c r="U57" s="50"/>
      <c r="V57" s="86">
        <v>80.3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690" t="s">
        <v>194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689" t="s">
        <v>193</v>
      </c>
      <c r="C61" s="688"/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88"/>
      <c r="O61" s="688"/>
      <c r="P61" s="688"/>
      <c r="Q61" s="688"/>
      <c r="R61" s="688"/>
      <c r="S61" s="688"/>
      <c r="T61" s="688"/>
      <c r="U61" s="68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689" t="s">
        <v>192</v>
      </c>
      <c r="C62" s="688"/>
      <c r="D62" s="688"/>
      <c r="E62" s="688"/>
      <c r="F62" s="688"/>
      <c r="G62" s="688"/>
      <c r="H62" s="688"/>
      <c r="I62" s="688"/>
      <c r="J62" s="688"/>
      <c r="K62" s="688"/>
      <c r="L62" s="688"/>
      <c r="M62" s="688"/>
      <c r="N62" s="688"/>
      <c r="O62" s="688"/>
      <c r="P62" s="688"/>
      <c r="Q62" s="688"/>
      <c r="R62" s="688"/>
      <c r="S62" s="688"/>
      <c r="T62" s="688"/>
      <c r="U62" s="68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24"/>
      <c r="C69" s="125"/>
      <c r="D69" s="2"/>
      <c r="E69" s="2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24"/>
      <c r="C70" s="125"/>
      <c r="D70" s="2"/>
      <c r="E70" s="2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34"/>
      <c r="C71" s="135"/>
      <c r="D71" s="136"/>
      <c r="E71" s="13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4"/>
      <c r="W71" s="154"/>
      <c r="X71" s="154"/>
      <c r="Y71" s="154"/>
      <c r="Z71" s="154"/>
      <c r="AA71" s="154"/>
      <c r="AB71" s="155"/>
      <c r="AC71" s="4"/>
      <c r="AD71" s="4"/>
    </row>
    <row r="72" spans="1:30" x14ac:dyDescent="0.25">
      <c r="A72" s="87"/>
      <c r="B72" s="138"/>
      <c r="C72" s="137"/>
      <c r="D72" s="138"/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87"/>
      <c r="B73" s="138"/>
      <c r="C73" s="137"/>
      <c r="D73" s="138"/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 t="s">
        <v>80</v>
      </c>
      <c r="C75" s="120">
        <v>45575</v>
      </c>
      <c r="D75" s="53" t="s">
        <v>76</v>
      </c>
      <c r="E75" s="216" t="s">
        <v>191</v>
      </c>
      <c r="F75" s="216"/>
      <c r="G75" s="216"/>
      <c r="H75" s="53"/>
      <c r="I75" s="53" t="s">
        <v>77</v>
      </c>
      <c r="J75" s="223" t="s">
        <v>190</v>
      </c>
      <c r="K75" s="223"/>
      <c r="L75" s="223"/>
      <c r="M75" s="223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ht="7.5" customHeight="1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5"/>
      <c r="B77" s="53"/>
      <c r="C77" s="53"/>
      <c r="D77" s="53" t="s">
        <v>79</v>
      </c>
      <c r="E77" s="55"/>
      <c r="F77" s="55"/>
      <c r="G77" s="55"/>
      <c r="H77" s="53"/>
      <c r="I77" s="53" t="s">
        <v>79</v>
      </c>
      <c r="J77" s="54"/>
      <c r="K77" s="54"/>
      <c r="L77" s="54"/>
      <c r="M77" s="54"/>
      <c r="N77" s="53"/>
      <c r="O77" s="53"/>
      <c r="P77" s="53"/>
      <c r="Q77" s="53"/>
      <c r="R77" s="53"/>
      <c r="S77" s="53"/>
      <c r="T77" s="53"/>
      <c r="U77" s="53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5"/>
      <c r="B78" s="53"/>
      <c r="C78" s="53"/>
      <c r="D78" s="53"/>
      <c r="E78" s="55"/>
      <c r="F78" s="55"/>
      <c r="G78" s="55"/>
      <c r="H78" s="53"/>
      <c r="I78" s="53"/>
      <c r="J78" s="54"/>
      <c r="K78" s="54"/>
      <c r="L78" s="54"/>
      <c r="M78" s="54"/>
      <c r="N78" s="53"/>
      <c r="O78" s="53"/>
      <c r="P78" s="53"/>
      <c r="Q78" s="53"/>
      <c r="R78" s="53"/>
      <c r="S78" s="53"/>
      <c r="T78" s="53"/>
      <c r="U78" s="53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A79" s="5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A80" s="5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4"/>
      <c r="W80" s="4"/>
      <c r="X80" s="4"/>
      <c r="Y80" s="4"/>
      <c r="Z80" s="4"/>
      <c r="AA80" s="4"/>
      <c r="AB80" s="4"/>
      <c r="AC80" s="4"/>
      <c r="AD80" s="4"/>
    </row>
    <row r="81" spans="29:30" hidden="1" x14ac:dyDescent="0.25">
      <c r="AC81" s="3"/>
      <c r="AD81" s="3"/>
    </row>
    <row r="82" spans="29:30" hidden="1" x14ac:dyDescent="0.25"/>
    <row r="83" spans="29:30" hidden="1" x14ac:dyDescent="0.25"/>
    <row r="84" spans="29:30" hidden="1" x14ac:dyDescent="0.25"/>
    <row r="85" spans="29:30" hidden="1" x14ac:dyDescent="0.25"/>
    <row r="86" spans="29:30" hidden="1" x14ac:dyDescent="0.25"/>
    <row r="87" spans="29:30" hidden="1" x14ac:dyDescent="0.25"/>
    <row r="88" spans="29:30" hidden="1" x14ac:dyDescent="0.25"/>
    <row r="89" spans="29:30" hidden="1" x14ac:dyDescent="0.25"/>
    <row r="90" spans="29:30" hidden="1" x14ac:dyDescent="0.25"/>
    <row r="91" spans="29:30" hidden="1" x14ac:dyDescent="0.25"/>
    <row r="92" spans="29:30" hidden="1" x14ac:dyDescent="0.25"/>
    <row r="93" spans="29:30" hidden="1" x14ac:dyDescent="0.25"/>
    <row r="94" spans="29:30" hidden="1" x14ac:dyDescent="0.25"/>
    <row r="95" spans="29:30" hidden="1" x14ac:dyDescent="0.25"/>
    <row r="96" spans="29:30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0:I10"/>
    <mergeCell ref="D11:G11"/>
    <mergeCell ref="C10:C13"/>
    <mergeCell ref="D13:F13"/>
    <mergeCell ref="H26:H27"/>
    <mergeCell ref="I26:I27"/>
    <mergeCell ref="H13:H14"/>
    <mergeCell ref="E75:G75"/>
    <mergeCell ref="J75:M75"/>
    <mergeCell ref="B63:U63"/>
    <mergeCell ref="D4:U4"/>
    <mergeCell ref="D8:U8"/>
    <mergeCell ref="C43:C44"/>
    <mergeCell ref="C46:C47"/>
    <mergeCell ref="C26:C27"/>
    <mergeCell ref="D12:I12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51" priority="5" operator="equal">
      <formula>0</formula>
    </cfRule>
    <cfRule type="containsErrors" dxfId="50" priority="6">
      <formula>ISERROR(AB15)</formula>
    </cfRule>
  </conditionalFormatting>
  <conditionalFormatting sqref="AB28:AB40">
    <cfRule type="cellIs" dxfId="49" priority="3" operator="equal">
      <formula>0</formula>
    </cfRule>
    <cfRule type="containsErrors" dxfId="48" priority="4">
      <formula>ISERROR(AB28)</formula>
    </cfRule>
  </conditionalFormatting>
  <conditionalFormatting sqref="AB41">
    <cfRule type="cellIs" dxfId="47" priority="1" operator="equal">
      <formula>0</formula>
    </cfRule>
    <cfRule type="containsErrors" dxfId="46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D128"/>
  <sheetViews>
    <sheetView showGridLines="0" zoomScale="80" zoomScaleNormal="80" zoomScaleSheetLayoutView="80" workbookViewId="0">
      <selection activeCell="J91" sqref="J91:M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2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202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72744341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201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176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/>
      <c r="E15" s="430"/>
      <c r="F15" s="429">
        <v>1062.8779999999999</v>
      </c>
      <c r="G15" s="428">
        <f>SUM(D15:F15)</f>
        <v>1062.8779999999999</v>
      </c>
      <c r="H15" s="410"/>
      <c r="I15" s="320">
        <f>G15+H15</f>
        <v>1062.8779999999999</v>
      </c>
      <c r="J15" s="435"/>
      <c r="K15" s="434"/>
      <c r="L15" s="433">
        <v>1040</v>
      </c>
      <c r="M15" s="432">
        <f>SUM(J15:L15)</f>
        <v>1040</v>
      </c>
      <c r="N15" s="411"/>
      <c r="O15" s="321">
        <f>M15+N15</f>
        <v>1040</v>
      </c>
      <c r="P15" s="431"/>
      <c r="Q15" s="430"/>
      <c r="R15" s="429">
        <v>613</v>
      </c>
      <c r="S15" s="428">
        <f>SUM(P15:R15)</f>
        <v>613</v>
      </c>
      <c r="T15" s="410"/>
      <c r="U15" s="320">
        <f>S15+T15</f>
        <v>613</v>
      </c>
      <c r="V15" s="431"/>
      <c r="W15" s="430"/>
      <c r="X15" s="429">
        <v>1063</v>
      </c>
      <c r="Y15" s="428">
        <f>SUM(V15:X15)</f>
        <v>1063</v>
      </c>
      <c r="Z15" s="410"/>
      <c r="AA15" s="320">
        <f>Y15+Z15</f>
        <v>1063</v>
      </c>
      <c r="AB15" s="620">
        <f>IFERROR(AA15/O15,0)</f>
        <v>1.0221153846153845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3245</v>
      </c>
      <c r="E16" s="403"/>
      <c r="F16" s="403"/>
      <c r="G16" s="401">
        <f>SUM(D16:F16)</f>
        <v>3245</v>
      </c>
      <c r="H16" s="423"/>
      <c r="I16" s="320">
        <f>G16+H16</f>
        <v>3245</v>
      </c>
      <c r="J16" s="426">
        <v>3922.4</v>
      </c>
      <c r="K16" s="408"/>
      <c r="L16" s="408"/>
      <c r="M16" s="406">
        <f>SUM(J16:L16)</f>
        <v>3922.4</v>
      </c>
      <c r="N16" s="425"/>
      <c r="O16" s="321">
        <f>M16+N16</f>
        <v>3922.4</v>
      </c>
      <c r="P16" s="424">
        <v>1922.6</v>
      </c>
      <c r="Q16" s="403"/>
      <c r="R16" s="403"/>
      <c r="S16" s="401">
        <f>SUM(P16:R16)</f>
        <v>1922.6</v>
      </c>
      <c r="T16" s="423"/>
      <c r="U16" s="320">
        <f>S16+T16</f>
        <v>1922.6</v>
      </c>
      <c r="V16" s="424">
        <v>4500</v>
      </c>
      <c r="W16" s="403"/>
      <c r="X16" s="403"/>
      <c r="Y16" s="401">
        <f>SUM(V16:X16)</f>
        <v>4500</v>
      </c>
      <c r="Z16" s="423"/>
      <c r="AA16" s="320">
        <f>Y16+Z16</f>
        <v>4500</v>
      </c>
      <c r="AB16" s="620">
        <f>IFERROR(AA16/O16,0)</f>
        <v>1.1472567815623087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>
        <v>175</v>
      </c>
      <c r="E17" s="413"/>
      <c r="F17" s="413"/>
      <c r="G17" s="401">
        <f>SUM(D17:F17)</f>
        <v>175</v>
      </c>
      <c r="H17" s="419"/>
      <c r="I17" s="320">
        <f>G17+H17</f>
        <v>175</v>
      </c>
      <c r="J17" s="421">
        <v>657.8</v>
      </c>
      <c r="K17" s="416"/>
      <c r="L17" s="416"/>
      <c r="M17" s="406">
        <f>SUM(J17:L17)</f>
        <v>657.8</v>
      </c>
      <c r="N17" s="420"/>
      <c r="O17" s="321">
        <f>M17+N17</f>
        <v>657.8</v>
      </c>
      <c r="P17" s="58">
        <v>87</v>
      </c>
      <c r="Q17" s="413"/>
      <c r="R17" s="413"/>
      <c r="S17" s="401">
        <f>SUM(P17:R17)</f>
        <v>87</v>
      </c>
      <c r="T17" s="419"/>
      <c r="U17" s="320">
        <f>S17+T17</f>
        <v>87</v>
      </c>
      <c r="V17" s="58">
        <v>722.1</v>
      </c>
      <c r="W17" s="413"/>
      <c r="X17" s="413"/>
      <c r="Y17" s="401">
        <f>SUM(V17:X17)</f>
        <v>722.1</v>
      </c>
      <c r="Z17" s="419"/>
      <c r="AA17" s="320">
        <f>Y17+Z17</f>
        <v>722.1</v>
      </c>
      <c r="AB17" s="620">
        <f>IFERROR(AA17/O17,0)</f>
        <v>1.0977500760109458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/>
      <c r="E18" s="60">
        <v>25293.530999999999</v>
      </c>
      <c r="F18" s="413"/>
      <c r="G18" s="401">
        <f>SUM(D18:F18)</f>
        <v>25293.530999999999</v>
      </c>
      <c r="H18" s="410"/>
      <c r="I18" s="320">
        <f>G18+H18</f>
        <v>25293.530999999999</v>
      </c>
      <c r="J18" s="409"/>
      <c r="K18" s="415">
        <v>24725.1</v>
      </c>
      <c r="L18" s="416"/>
      <c r="M18" s="406">
        <f>SUM(J18:L18)</f>
        <v>24725.1</v>
      </c>
      <c r="N18" s="411"/>
      <c r="O18" s="321">
        <f>M18+N18</f>
        <v>24725.1</v>
      </c>
      <c r="P18" s="404"/>
      <c r="Q18" s="60">
        <v>11780.6</v>
      </c>
      <c r="R18" s="413"/>
      <c r="S18" s="401">
        <f>SUM(P18:R18)</f>
        <v>11780.6</v>
      </c>
      <c r="T18" s="410"/>
      <c r="U18" s="320">
        <f>S18+T18</f>
        <v>11780.6</v>
      </c>
      <c r="V18" s="404"/>
      <c r="W18" s="60">
        <v>26351.200000000001</v>
      </c>
      <c r="X18" s="413"/>
      <c r="Y18" s="401">
        <f>SUM(V18:X18)</f>
        <v>26351.200000000001</v>
      </c>
      <c r="Z18" s="410"/>
      <c r="AA18" s="320">
        <f>Y18+Z18</f>
        <v>26351.200000000001</v>
      </c>
      <c r="AB18" s="620">
        <f>IFERROR(AA18/O18,0)</f>
        <v>1.0657671758658207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/>
      <c r="E19" s="413"/>
      <c r="F19" s="60">
        <v>51.7</v>
      </c>
      <c r="G19" s="401">
        <f>SUM(D19:F19)</f>
        <v>51.7</v>
      </c>
      <c r="H19" s="410"/>
      <c r="I19" s="320">
        <f>G19+H19</f>
        <v>51.7</v>
      </c>
      <c r="J19" s="417"/>
      <c r="K19" s="416"/>
      <c r="L19" s="415">
        <v>44.5</v>
      </c>
      <c r="M19" s="406">
        <f>SUM(J19:L19)</f>
        <v>44.5</v>
      </c>
      <c r="N19" s="411"/>
      <c r="O19" s="321">
        <f>M19+N19</f>
        <v>44.5</v>
      </c>
      <c r="P19" s="414"/>
      <c r="Q19" s="413"/>
      <c r="R19" s="60">
        <v>34.4</v>
      </c>
      <c r="S19" s="401">
        <f>SUM(P19:R19)</f>
        <v>34.4</v>
      </c>
      <c r="T19" s="410"/>
      <c r="U19" s="320">
        <f>S19+T19</f>
        <v>34.4</v>
      </c>
      <c r="V19" s="414"/>
      <c r="W19" s="413"/>
      <c r="X19" s="60">
        <v>68.900000000000006</v>
      </c>
      <c r="Y19" s="401">
        <f>SUM(V19:X19)</f>
        <v>68.900000000000006</v>
      </c>
      <c r="Z19" s="410"/>
      <c r="AA19" s="320">
        <f>Y19+Z19</f>
        <v>68.900000000000006</v>
      </c>
      <c r="AB19" s="620">
        <f>IFERROR(AA19/O19,0)</f>
        <v>1.5483146067415732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/>
      <c r="E20" s="403"/>
      <c r="F20" s="402">
        <v>73.155000000000001</v>
      </c>
      <c r="G20" s="401">
        <f>SUM(D20:F20)</f>
        <v>73.155000000000001</v>
      </c>
      <c r="H20" s="410"/>
      <c r="I20" s="320">
        <f>G20+H20</f>
        <v>73.155000000000001</v>
      </c>
      <c r="J20" s="409"/>
      <c r="K20" s="408"/>
      <c r="L20" s="407">
        <v>92</v>
      </c>
      <c r="M20" s="406">
        <f>SUM(J20:L20)</f>
        <v>92</v>
      </c>
      <c r="N20" s="411"/>
      <c r="O20" s="321">
        <f>M20+N20</f>
        <v>92</v>
      </c>
      <c r="P20" s="404"/>
      <c r="Q20" s="403"/>
      <c r="R20" s="402">
        <v>91.1</v>
      </c>
      <c r="S20" s="401">
        <f>SUM(P20:R20)</f>
        <v>91.1</v>
      </c>
      <c r="T20" s="410"/>
      <c r="U20" s="320">
        <f>S20+T20</f>
        <v>91.1</v>
      </c>
      <c r="V20" s="404"/>
      <c r="W20" s="403"/>
      <c r="X20" s="402">
        <v>92</v>
      </c>
      <c r="Y20" s="401">
        <f>SUM(V20:X20)</f>
        <v>92</v>
      </c>
      <c r="Z20" s="410"/>
      <c r="AA20" s="320">
        <f>Y20+Z20</f>
        <v>92</v>
      </c>
      <c r="AB20" s="620">
        <f>IFERROR(AA20/O20,0)</f>
        <v>1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/>
      <c r="E21" s="403"/>
      <c r="F21" s="402">
        <v>229.91300000000001</v>
      </c>
      <c r="G21" s="401">
        <f>SUM(D21:F21)</f>
        <v>229.91300000000001</v>
      </c>
      <c r="H21" s="400"/>
      <c r="I21" s="320">
        <f>G21+H21</f>
        <v>229.91300000000001</v>
      </c>
      <c r="J21" s="409"/>
      <c r="K21" s="408"/>
      <c r="L21" s="407">
        <v>116</v>
      </c>
      <c r="M21" s="406">
        <f>SUM(J21:L21)</f>
        <v>116</v>
      </c>
      <c r="N21" s="405"/>
      <c r="O21" s="321">
        <f>M21+N21</f>
        <v>116</v>
      </c>
      <c r="P21" s="404"/>
      <c r="Q21" s="403"/>
      <c r="R21" s="402">
        <v>102.7</v>
      </c>
      <c r="S21" s="401">
        <f>SUM(P21:R21)</f>
        <v>102.7</v>
      </c>
      <c r="T21" s="400"/>
      <c r="U21" s="320">
        <f>S21+T21</f>
        <v>102.7</v>
      </c>
      <c r="V21" s="404"/>
      <c r="W21" s="403"/>
      <c r="X21" s="402">
        <v>139.1</v>
      </c>
      <c r="Y21" s="401">
        <f>SUM(V21:X21)</f>
        <v>139.1</v>
      </c>
      <c r="Z21" s="400"/>
      <c r="AA21" s="320">
        <f>Y21+Z21</f>
        <v>139.1</v>
      </c>
      <c r="AB21" s="620">
        <f>IFERROR(AA21/O21,0)</f>
        <v>1.1991379310344827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/>
      <c r="E22" s="403"/>
      <c r="F22" s="402"/>
      <c r="G22" s="401">
        <f>SUM(D22:F22)</f>
        <v>0</v>
      </c>
      <c r="H22" s="400"/>
      <c r="I22" s="320">
        <f>G22+H22</f>
        <v>0</v>
      </c>
      <c r="J22" s="409"/>
      <c r="K22" s="408"/>
      <c r="L22" s="407"/>
      <c r="M22" s="406">
        <f>SUM(J22:L22)</f>
        <v>0</v>
      </c>
      <c r="N22" s="405"/>
      <c r="O22" s="321">
        <f>M22+N22</f>
        <v>0</v>
      </c>
      <c r="P22" s="404"/>
      <c r="Q22" s="403"/>
      <c r="R22" s="402"/>
      <c r="S22" s="401">
        <f>SUM(P22:R22)</f>
        <v>0</v>
      </c>
      <c r="T22" s="400"/>
      <c r="U22" s="320">
        <f>S22+T22</f>
        <v>0</v>
      </c>
      <c r="V22" s="404"/>
      <c r="W22" s="403"/>
      <c r="X22" s="402">
        <v>0</v>
      </c>
      <c r="Y22" s="401">
        <f>SUM(V22:X22)</f>
        <v>0</v>
      </c>
      <c r="Z22" s="400"/>
      <c r="AA22" s="320">
        <f>Y22+Z22</f>
        <v>0</v>
      </c>
      <c r="AB22" s="620">
        <f>IFERROR(AA22/O22,0)</f>
        <v>0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/>
      <c r="E23" s="391"/>
      <c r="F23" s="390"/>
      <c r="G23" s="401">
        <f>SUM(D23:F23)</f>
        <v>0</v>
      </c>
      <c r="H23" s="388"/>
      <c r="I23" s="309">
        <f>G23+H23</f>
        <v>0</v>
      </c>
      <c r="J23" s="397"/>
      <c r="K23" s="396"/>
      <c r="L23" s="395"/>
      <c r="M23" s="394">
        <f>SUM(J23:L23)</f>
        <v>0</v>
      </c>
      <c r="N23" s="393"/>
      <c r="O23" s="313">
        <f>M23+N23</f>
        <v>0</v>
      </c>
      <c r="P23" s="392"/>
      <c r="Q23" s="391"/>
      <c r="R23" s="390"/>
      <c r="S23" s="389">
        <f>SUM(P23:R23)</f>
        <v>0</v>
      </c>
      <c r="T23" s="388"/>
      <c r="U23" s="309">
        <f>S23+T23</f>
        <v>0</v>
      </c>
      <c r="V23" s="392"/>
      <c r="W23" s="391"/>
      <c r="X23" s="390">
        <v>0</v>
      </c>
      <c r="Y23" s="389">
        <f>SUM(V23:X23)</f>
        <v>0</v>
      </c>
      <c r="Z23" s="388"/>
      <c r="AA23" s="309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3420</v>
      </c>
      <c r="E24" s="381">
        <f>SUM(E15:E21)</f>
        <v>25293.530999999999</v>
      </c>
      <c r="F24" s="381">
        <f>SUM(F15:F21)</f>
        <v>1417.646</v>
      </c>
      <c r="G24" s="380">
        <f>SUM(D24:F24)</f>
        <v>30131.177</v>
      </c>
      <c r="H24" s="379">
        <f>SUM(H15:H21)</f>
        <v>0</v>
      </c>
      <c r="I24" s="379">
        <f>SUM(I15:I21)</f>
        <v>30131.177</v>
      </c>
      <c r="J24" s="386">
        <f>SUM(J15:J21)</f>
        <v>4580.2</v>
      </c>
      <c r="K24" s="385">
        <f>SUM(K15:K21)</f>
        <v>24725.1</v>
      </c>
      <c r="L24" s="385">
        <f>SUM(L15:L21)</f>
        <v>1292.5</v>
      </c>
      <c r="M24" s="384">
        <f>SUM(J24:L24)</f>
        <v>30597.8</v>
      </c>
      <c r="N24" s="383">
        <f>SUM(N15:N21)</f>
        <v>0</v>
      </c>
      <c r="O24" s="383">
        <f>SUM(O15:O21)</f>
        <v>30597.8</v>
      </c>
      <c r="P24" s="382">
        <f>SUM(P15:P21)</f>
        <v>2009.6</v>
      </c>
      <c r="Q24" s="381">
        <f>SUM(Q15:Q21)</f>
        <v>11780.6</v>
      </c>
      <c r="R24" s="381">
        <f>SUM(R15:R21)</f>
        <v>841.2</v>
      </c>
      <c r="S24" s="380">
        <f>SUM(P24:R24)</f>
        <v>14631.400000000001</v>
      </c>
      <c r="T24" s="379">
        <f>SUM(T15:T21)</f>
        <v>0</v>
      </c>
      <c r="U24" s="379">
        <f>SUM(U15:U21)</f>
        <v>14631.400000000001</v>
      </c>
      <c r="V24" s="382">
        <f>SUM(V15:V21)</f>
        <v>5222.1000000000004</v>
      </c>
      <c r="W24" s="381">
        <f>SUM(W15:W21)</f>
        <v>26351.200000000001</v>
      </c>
      <c r="X24" s="381">
        <f>SUM(X15:X21)</f>
        <v>1363</v>
      </c>
      <c r="Y24" s="380">
        <f>SUM(V24:X24)</f>
        <v>32936.300000000003</v>
      </c>
      <c r="Z24" s="379">
        <f>SUM(Z15:Z21)</f>
        <v>0</v>
      </c>
      <c r="AA24" s="379">
        <f>SUM(AA15:AA21)</f>
        <v>32936.300000000003</v>
      </c>
      <c r="AB24" s="643">
        <f>IFERROR(AA24/O24,0)</f>
        <v>1.0764270633836421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638" t="s">
        <v>176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632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625"/>
      <c r="AC27" s="4"/>
      <c r="AD27" s="4"/>
    </row>
    <row r="28" spans="1:30" x14ac:dyDescent="0.25">
      <c r="A28" s="4"/>
      <c r="B28" s="338" t="s">
        <v>19</v>
      </c>
      <c r="C28" s="337" t="s">
        <v>10</v>
      </c>
      <c r="D28" s="333">
        <v>292.60500000000002</v>
      </c>
      <c r="E28" s="333"/>
      <c r="F28" s="333"/>
      <c r="G28" s="332">
        <f>SUM(D28:F28)</f>
        <v>292.60500000000002</v>
      </c>
      <c r="H28" s="332"/>
      <c r="I28" s="331">
        <f>G28+H28</f>
        <v>292.60500000000002</v>
      </c>
      <c r="J28" s="489">
        <v>780</v>
      </c>
      <c r="K28" s="488"/>
      <c r="L28" s="488"/>
      <c r="M28" s="336">
        <f>SUM(J28:L28)</f>
        <v>780</v>
      </c>
      <c r="N28" s="336"/>
      <c r="O28" s="335">
        <f>M28+N28</f>
        <v>780</v>
      </c>
      <c r="P28" s="334">
        <v>181.5</v>
      </c>
      <c r="Q28" s="333"/>
      <c r="R28" s="333"/>
      <c r="S28" s="332">
        <f>SUM(P28:R28)</f>
        <v>181.5</v>
      </c>
      <c r="T28" s="332"/>
      <c r="U28" s="331">
        <f>S28+T28</f>
        <v>181.5</v>
      </c>
      <c r="V28" s="334">
        <v>891.4</v>
      </c>
      <c r="W28" s="333"/>
      <c r="X28" s="333"/>
      <c r="Y28" s="332">
        <f>SUM(V28:X28)</f>
        <v>891.4</v>
      </c>
      <c r="Z28" s="332"/>
      <c r="AA28" s="331">
        <f>Y28+Z28</f>
        <v>891.4</v>
      </c>
      <c r="AB28" s="620">
        <f>IFERROR(AA28/O28,0)</f>
        <v>1.1428205128205129</v>
      </c>
      <c r="AC28" s="4"/>
      <c r="AD28" s="4"/>
    </row>
    <row r="29" spans="1:30" x14ac:dyDescent="0.25">
      <c r="A29" s="4"/>
      <c r="B29" s="326" t="s">
        <v>20</v>
      </c>
      <c r="C29" s="325" t="s">
        <v>12</v>
      </c>
      <c r="D29" s="323">
        <v>414.33100000000002</v>
      </c>
      <c r="E29" s="323">
        <v>72.144999999999996</v>
      </c>
      <c r="F29" s="323">
        <v>918.99400000000003</v>
      </c>
      <c r="G29" s="315">
        <f>SUM(D29:F29)</f>
        <v>1405.47</v>
      </c>
      <c r="H29" s="315"/>
      <c r="I29" s="320">
        <f>G29+H29</f>
        <v>1405.47</v>
      </c>
      <c r="J29" s="487">
        <v>520</v>
      </c>
      <c r="K29" s="486">
        <v>69</v>
      </c>
      <c r="L29" s="486">
        <v>877</v>
      </c>
      <c r="M29" s="322">
        <f>SUM(J29:L29)</f>
        <v>1466</v>
      </c>
      <c r="N29" s="322"/>
      <c r="O29" s="321">
        <f>M29+N29</f>
        <v>1466</v>
      </c>
      <c r="P29" s="324">
        <v>163.6</v>
      </c>
      <c r="Q29" s="323">
        <v>4.7</v>
      </c>
      <c r="R29" s="323">
        <v>554.1</v>
      </c>
      <c r="S29" s="315">
        <f>SUM(P29:R29)</f>
        <v>722.4</v>
      </c>
      <c r="T29" s="315"/>
      <c r="U29" s="320">
        <f>S29+T29</f>
        <v>722.4</v>
      </c>
      <c r="V29" s="324">
        <v>505.1</v>
      </c>
      <c r="W29" s="323">
        <v>71</v>
      </c>
      <c r="X29" s="323">
        <v>890</v>
      </c>
      <c r="Y29" s="315">
        <f>SUM(V29:X29)</f>
        <v>1466.1</v>
      </c>
      <c r="Z29" s="315"/>
      <c r="AA29" s="320">
        <f>Y29+Z29</f>
        <v>1466.1</v>
      </c>
      <c r="AB29" s="620">
        <f>IFERROR(AA29/O29,0)</f>
        <v>1.0000682128240108</v>
      </c>
      <c r="AC29" s="4"/>
      <c r="AD29" s="4"/>
    </row>
    <row r="30" spans="1:30" x14ac:dyDescent="0.25">
      <c r="A30" s="4"/>
      <c r="B30" s="326" t="s">
        <v>22</v>
      </c>
      <c r="C30" s="325" t="s">
        <v>14</v>
      </c>
      <c r="D30" s="323">
        <v>1039.5</v>
      </c>
      <c r="E30" s="323"/>
      <c r="F30" s="323"/>
      <c r="G30" s="315">
        <f>SUM(D30:F30)</f>
        <v>1039.5</v>
      </c>
      <c r="H30" s="315"/>
      <c r="I30" s="320">
        <f>G30+H30</f>
        <v>1039.5</v>
      </c>
      <c r="J30" s="487">
        <v>1367.4</v>
      </c>
      <c r="K30" s="486"/>
      <c r="L30" s="486"/>
      <c r="M30" s="322">
        <f>SUM(J30:L30)</f>
        <v>1367.4</v>
      </c>
      <c r="N30" s="322"/>
      <c r="O30" s="321">
        <f>M30+N30</f>
        <v>1367.4</v>
      </c>
      <c r="P30" s="324">
        <v>758.9</v>
      </c>
      <c r="Q30" s="323"/>
      <c r="R30" s="323"/>
      <c r="S30" s="315">
        <f>SUM(P30:R30)</f>
        <v>758.9</v>
      </c>
      <c r="T30" s="315"/>
      <c r="U30" s="320">
        <f>S30+T30</f>
        <v>758.9</v>
      </c>
      <c r="V30" s="324">
        <v>1478.9</v>
      </c>
      <c r="W30" s="323"/>
      <c r="X30" s="323"/>
      <c r="Y30" s="315">
        <f>SUM(V30:X30)</f>
        <v>1478.9</v>
      </c>
      <c r="Z30" s="315"/>
      <c r="AA30" s="320">
        <f>Y30+Z30</f>
        <v>1478.9</v>
      </c>
      <c r="AB30" s="620">
        <f>IFERROR(AA30/O30,0)</f>
        <v>1.0815416118180488</v>
      </c>
      <c r="AC30" s="4"/>
      <c r="AD30" s="4"/>
    </row>
    <row r="31" spans="1:30" x14ac:dyDescent="0.25">
      <c r="A31" s="4"/>
      <c r="B31" s="326" t="s">
        <v>24</v>
      </c>
      <c r="C31" s="325" t="s">
        <v>16</v>
      </c>
      <c r="D31" s="323">
        <v>638.024</v>
      </c>
      <c r="E31" s="323">
        <v>101.80200000000001</v>
      </c>
      <c r="F31" s="323">
        <v>95.253</v>
      </c>
      <c r="G31" s="315">
        <f>SUM(D31:F31)</f>
        <v>835.07900000000006</v>
      </c>
      <c r="H31" s="315"/>
      <c r="I31" s="320">
        <f>G31+H31</f>
        <v>835.07900000000006</v>
      </c>
      <c r="J31" s="487">
        <v>1043.8</v>
      </c>
      <c r="K31" s="486">
        <v>75.8</v>
      </c>
      <c r="L31" s="486">
        <v>89</v>
      </c>
      <c r="M31" s="322">
        <f>SUM(J31:L31)</f>
        <v>1208.5999999999999</v>
      </c>
      <c r="N31" s="322"/>
      <c r="O31" s="321">
        <f>M31+N31</f>
        <v>1208.5999999999999</v>
      </c>
      <c r="P31" s="324">
        <v>383.8</v>
      </c>
      <c r="Q31" s="323">
        <v>30.9</v>
      </c>
      <c r="R31" s="323">
        <v>54.1</v>
      </c>
      <c r="S31" s="315">
        <f>SUM(P31:R31)</f>
        <v>468.8</v>
      </c>
      <c r="T31" s="315"/>
      <c r="U31" s="320">
        <f>S31+T31</f>
        <v>468.8</v>
      </c>
      <c r="V31" s="324">
        <v>1453.6</v>
      </c>
      <c r="W31" s="323">
        <v>120.3</v>
      </c>
      <c r="X31" s="323">
        <v>80.2</v>
      </c>
      <c r="Y31" s="315">
        <f>SUM(V31:X31)</f>
        <v>1654.1</v>
      </c>
      <c r="Z31" s="315"/>
      <c r="AA31" s="320">
        <f>Y31+Z31</f>
        <v>1654.1</v>
      </c>
      <c r="AB31" s="620">
        <f>IFERROR(AA31/O31,0)</f>
        <v>1.368608307132219</v>
      </c>
      <c r="AC31" s="4"/>
      <c r="AD31" s="4"/>
    </row>
    <row r="32" spans="1:30" x14ac:dyDescent="0.25">
      <c r="A32" s="4"/>
      <c r="B32" s="326" t="s">
        <v>26</v>
      </c>
      <c r="C32" s="325" t="s">
        <v>18</v>
      </c>
      <c r="D32" s="328">
        <v>33.799999999999997</v>
      </c>
      <c r="E32" s="323">
        <v>18403.592000000001</v>
      </c>
      <c r="F32" s="323">
        <v>26.9</v>
      </c>
      <c r="G32" s="315">
        <f>SUM(D32:F32)</f>
        <v>18464.292000000001</v>
      </c>
      <c r="H32" s="315"/>
      <c r="I32" s="320">
        <f>G32+H32</f>
        <v>18464.292000000001</v>
      </c>
      <c r="J32" s="487">
        <v>27</v>
      </c>
      <c r="K32" s="486">
        <v>17978.2</v>
      </c>
      <c r="L32" s="486">
        <v>40</v>
      </c>
      <c r="M32" s="322">
        <f>SUM(J32:L32)</f>
        <v>18045.2</v>
      </c>
      <c r="N32" s="322"/>
      <c r="O32" s="321">
        <f>M32+N32</f>
        <v>18045.2</v>
      </c>
      <c r="P32" s="327">
        <v>27</v>
      </c>
      <c r="Q32" s="323">
        <f>Q34+Q33</f>
        <v>8793.5</v>
      </c>
      <c r="R32" s="323">
        <v>12.5</v>
      </c>
      <c r="S32" s="315">
        <f>SUM(P32:R32)</f>
        <v>8833</v>
      </c>
      <c r="T32" s="315"/>
      <c r="U32" s="320">
        <f>S32+T32</f>
        <v>8833</v>
      </c>
      <c r="V32" s="327">
        <f>V33</f>
        <v>27</v>
      </c>
      <c r="W32" s="323">
        <f>W34+W33</f>
        <v>19420.099999999999</v>
      </c>
      <c r="X32" s="323">
        <f>X33</f>
        <v>36</v>
      </c>
      <c r="Y32" s="315">
        <f>SUM(V32:X32)</f>
        <v>19483.099999999999</v>
      </c>
      <c r="Z32" s="315"/>
      <c r="AA32" s="320">
        <f>Y32+Z32</f>
        <v>19483.099999999999</v>
      </c>
      <c r="AB32" s="620">
        <f>IFERROR(AA32/O32,0)</f>
        <v>1.0796832398643406</v>
      </c>
      <c r="AC32" s="4"/>
      <c r="AD32" s="4"/>
    </row>
    <row r="33" spans="1:30" x14ac:dyDescent="0.25">
      <c r="A33" s="4"/>
      <c r="B33" s="326" t="s">
        <v>28</v>
      </c>
      <c r="C33" s="330" t="s">
        <v>42</v>
      </c>
      <c r="D33" s="328">
        <v>33.799999999999997</v>
      </c>
      <c r="E33" s="323">
        <v>17807.526000000002</v>
      </c>
      <c r="F33" s="323">
        <v>26.9</v>
      </c>
      <c r="G33" s="315">
        <f>SUM(D33:F33)</f>
        <v>17868.226000000002</v>
      </c>
      <c r="H33" s="315"/>
      <c r="I33" s="320">
        <f>G33+H33</f>
        <v>17868.226000000002</v>
      </c>
      <c r="J33" s="487">
        <v>27</v>
      </c>
      <c r="K33" s="486">
        <v>17824</v>
      </c>
      <c r="L33" s="486">
        <v>40</v>
      </c>
      <c r="M33" s="322">
        <f>SUM(J33:L33)</f>
        <v>17891</v>
      </c>
      <c r="N33" s="322"/>
      <c r="O33" s="321">
        <f>M33+N33</f>
        <v>17891</v>
      </c>
      <c r="P33" s="327">
        <v>27</v>
      </c>
      <c r="Q33" s="323">
        <v>8689.2999999999993</v>
      </c>
      <c r="R33" s="323">
        <v>12.5</v>
      </c>
      <c r="S33" s="315">
        <f>SUM(P33:R33)</f>
        <v>8728.7999999999993</v>
      </c>
      <c r="T33" s="315"/>
      <c r="U33" s="320">
        <f>S33+T33</f>
        <v>8728.7999999999993</v>
      </c>
      <c r="V33" s="327">
        <v>27</v>
      </c>
      <c r="W33" s="323">
        <v>19200</v>
      </c>
      <c r="X33" s="323">
        <v>36</v>
      </c>
      <c r="Y33" s="315">
        <f>SUM(V33:X33)</f>
        <v>19263</v>
      </c>
      <c r="Z33" s="315"/>
      <c r="AA33" s="320">
        <f>Y33+Z33</f>
        <v>19263</v>
      </c>
      <c r="AB33" s="620">
        <f>IFERROR(AA33/O33,0)</f>
        <v>1.0766866022022246</v>
      </c>
      <c r="AC33" s="4"/>
      <c r="AD33" s="4"/>
    </row>
    <row r="34" spans="1:30" x14ac:dyDescent="0.25">
      <c r="A34" s="4"/>
      <c r="B34" s="326" t="s">
        <v>30</v>
      </c>
      <c r="C34" s="329" t="s">
        <v>21</v>
      </c>
      <c r="D34" s="328"/>
      <c r="E34" s="323">
        <v>596.06600000000003</v>
      </c>
      <c r="F34" s="323"/>
      <c r="G34" s="315">
        <f>SUM(D34:F34)</f>
        <v>596.06600000000003</v>
      </c>
      <c r="H34" s="315"/>
      <c r="I34" s="320">
        <f>G34+H34</f>
        <v>596.06600000000003</v>
      </c>
      <c r="J34" s="487"/>
      <c r="K34" s="486">
        <v>154.19999999999999</v>
      </c>
      <c r="L34" s="486"/>
      <c r="M34" s="322">
        <f>SUM(J34:L34)</f>
        <v>154.19999999999999</v>
      </c>
      <c r="N34" s="322"/>
      <c r="O34" s="321">
        <f>M34+N34</f>
        <v>154.19999999999999</v>
      </c>
      <c r="P34" s="327"/>
      <c r="Q34" s="323">
        <v>104.2</v>
      </c>
      <c r="R34" s="323"/>
      <c r="S34" s="315">
        <f>SUM(P34:R34)</f>
        <v>104.2</v>
      </c>
      <c r="T34" s="315"/>
      <c r="U34" s="320">
        <f>S34+T34</f>
        <v>104.2</v>
      </c>
      <c r="V34" s="327"/>
      <c r="W34" s="323">
        <v>220.1</v>
      </c>
      <c r="X34" s="323"/>
      <c r="Y34" s="315">
        <f>SUM(V34:X34)</f>
        <v>220.1</v>
      </c>
      <c r="Z34" s="315"/>
      <c r="AA34" s="320">
        <f>Y34+Z34</f>
        <v>220.1</v>
      </c>
      <c r="AB34" s="620">
        <f>IFERROR(AA34/O34,0)</f>
        <v>1.4273670557717251</v>
      </c>
      <c r="AC34" s="4"/>
      <c r="AD34" s="4"/>
    </row>
    <row r="35" spans="1:30" x14ac:dyDescent="0.25">
      <c r="A35" s="4"/>
      <c r="B35" s="326" t="s">
        <v>32</v>
      </c>
      <c r="C35" s="325" t="s">
        <v>23</v>
      </c>
      <c r="D35" s="328">
        <v>21.5</v>
      </c>
      <c r="E35" s="323">
        <v>6018.9539999999997</v>
      </c>
      <c r="F35" s="323"/>
      <c r="G35" s="315">
        <f>SUM(D35:F35)</f>
        <v>6040.4539999999997</v>
      </c>
      <c r="H35" s="315"/>
      <c r="I35" s="320">
        <f>G35+H35</f>
        <v>6040.4539999999997</v>
      </c>
      <c r="J35" s="487">
        <v>24.1</v>
      </c>
      <c r="K35" s="486">
        <v>6391.8</v>
      </c>
      <c r="L35" s="486"/>
      <c r="M35" s="322">
        <f>SUM(J35:L35)</f>
        <v>6415.9000000000005</v>
      </c>
      <c r="N35" s="322"/>
      <c r="O35" s="321">
        <f>M35+N35</f>
        <v>6415.9000000000005</v>
      </c>
      <c r="P35" s="327">
        <v>15.1</v>
      </c>
      <c r="Q35" s="323">
        <v>2944.9</v>
      </c>
      <c r="R35" s="323"/>
      <c r="S35" s="315">
        <f>SUM(P35:R35)</f>
        <v>2960</v>
      </c>
      <c r="T35" s="315"/>
      <c r="U35" s="320">
        <f>S35+T35</f>
        <v>2960</v>
      </c>
      <c r="V35" s="327">
        <v>15.1</v>
      </c>
      <c r="W35" s="323">
        <v>6489.6</v>
      </c>
      <c r="X35" s="323"/>
      <c r="Y35" s="315">
        <f>SUM(V35:X35)</f>
        <v>6504.7000000000007</v>
      </c>
      <c r="Z35" s="315"/>
      <c r="AA35" s="320">
        <f>Y35+Z35</f>
        <v>6504.7000000000007</v>
      </c>
      <c r="AB35" s="620">
        <f>IFERROR(AA35/O35,0)</f>
        <v>1.0138406147227981</v>
      </c>
      <c r="AC35" s="4"/>
      <c r="AD35" s="4"/>
    </row>
    <row r="36" spans="1:30" x14ac:dyDescent="0.25">
      <c r="A36" s="4"/>
      <c r="B36" s="326" t="s">
        <v>33</v>
      </c>
      <c r="C36" s="325" t="s">
        <v>25</v>
      </c>
      <c r="D36" s="323">
        <v>32.994</v>
      </c>
      <c r="E36" s="323"/>
      <c r="F36" s="323"/>
      <c r="G36" s="315">
        <f>SUM(D36:F36)</f>
        <v>32.994</v>
      </c>
      <c r="H36" s="315"/>
      <c r="I36" s="320">
        <f>G36+H36</f>
        <v>32.994</v>
      </c>
      <c r="J36" s="487">
        <v>16</v>
      </c>
      <c r="K36" s="486"/>
      <c r="L36" s="486"/>
      <c r="M36" s="322">
        <f>SUM(J36:L36)</f>
        <v>16</v>
      </c>
      <c r="N36" s="322"/>
      <c r="O36" s="321">
        <f>M36+N36</f>
        <v>16</v>
      </c>
      <c r="P36" s="324">
        <v>18.399999999999999</v>
      </c>
      <c r="Q36" s="323"/>
      <c r="R36" s="323"/>
      <c r="S36" s="315">
        <f>SUM(P36:R36)</f>
        <v>18.399999999999999</v>
      </c>
      <c r="T36" s="315"/>
      <c r="U36" s="320">
        <f>S36+T36</f>
        <v>18.399999999999999</v>
      </c>
      <c r="V36" s="324">
        <v>36.799999999999997</v>
      </c>
      <c r="W36" s="323"/>
      <c r="X36" s="323"/>
      <c r="Y36" s="315">
        <f>SUM(V36:X36)</f>
        <v>36.799999999999997</v>
      </c>
      <c r="Z36" s="315"/>
      <c r="AA36" s="320">
        <f>Y36+Z36</f>
        <v>36.799999999999997</v>
      </c>
      <c r="AB36" s="620">
        <f>IFERROR(AA36/O36,0)</f>
        <v>2.2999999999999998</v>
      </c>
      <c r="AC36" s="4"/>
      <c r="AD36" s="4"/>
    </row>
    <row r="37" spans="1:30" x14ac:dyDescent="0.25">
      <c r="A37" s="4"/>
      <c r="B37" s="326" t="s">
        <v>34</v>
      </c>
      <c r="C37" s="325" t="s">
        <v>27</v>
      </c>
      <c r="D37" s="323">
        <v>471.70800000000003</v>
      </c>
      <c r="E37" s="323"/>
      <c r="F37" s="323"/>
      <c r="G37" s="315">
        <f>SUM(D37:F37)</f>
        <v>471.70800000000003</v>
      </c>
      <c r="H37" s="315"/>
      <c r="I37" s="320">
        <f>G37+H37</f>
        <v>471.70800000000003</v>
      </c>
      <c r="J37" s="487">
        <v>457.2</v>
      </c>
      <c r="K37" s="486"/>
      <c r="L37" s="486"/>
      <c r="M37" s="322">
        <f>SUM(J37:L37)</f>
        <v>457.2</v>
      </c>
      <c r="N37" s="322"/>
      <c r="O37" s="321">
        <f>M37+N37</f>
        <v>457.2</v>
      </c>
      <c r="P37" s="324">
        <v>237.5</v>
      </c>
      <c r="Q37" s="323"/>
      <c r="R37" s="323"/>
      <c r="S37" s="315">
        <f>SUM(P37:R37)</f>
        <v>237.5</v>
      </c>
      <c r="T37" s="315"/>
      <c r="U37" s="320">
        <f>S37+T37</f>
        <v>237.5</v>
      </c>
      <c r="V37" s="324">
        <v>460.9</v>
      </c>
      <c r="W37" s="323"/>
      <c r="X37" s="323"/>
      <c r="Y37" s="315">
        <f>SUM(V37:X37)</f>
        <v>460.9</v>
      </c>
      <c r="Z37" s="315"/>
      <c r="AA37" s="320">
        <f>Y37+Z37</f>
        <v>460.9</v>
      </c>
      <c r="AB37" s="620">
        <f>IFERROR(AA37/O37,0)</f>
        <v>1.008092738407699</v>
      </c>
      <c r="AC37" s="4"/>
      <c r="AD37" s="4"/>
    </row>
    <row r="38" spans="1:30" ht="15" customHeight="1" thickBot="1" x14ac:dyDescent="0.3">
      <c r="A38" s="4"/>
      <c r="B38" s="317" t="s">
        <v>35</v>
      </c>
      <c r="C38" s="316" t="s">
        <v>29</v>
      </c>
      <c r="D38" s="311">
        <v>393.16399999999999</v>
      </c>
      <c r="E38" s="311">
        <v>697.03800000000001</v>
      </c>
      <c r="F38" s="311">
        <v>376.49900000000002</v>
      </c>
      <c r="G38" s="315">
        <f>SUM(D38:F38)</f>
        <v>1466.701</v>
      </c>
      <c r="H38" s="310"/>
      <c r="I38" s="309">
        <f>G38+H38</f>
        <v>1466.701</v>
      </c>
      <c r="J38" s="485">
        <v>344.7</v>
      </c>
      <c r="K38" s="484">
        <v>210.3</v>
      </c>
      <c r="L38" s="484">
        <v>286.5</v>
      </c>
      <c r="M38" s="314">
        <f>SUM(J38:L38)</f>
        <v>841.5</v>
      </c>
      <c r="N38" s="314"/>
      <c r="O38" s="313">
        <f>M38+N38</f>
        <v>841.5</v>
      </c>
      <c r="P38" s="312">
        <v>96.3</v>
      </c>
      <c r="Q38" s="311">
        <v>6.6</v>
      </c>
      <c r="R38" s="311">
        <v>22.6</v>
      </c>
      <c r="S38" s="310">
        <f>SUM(P38:R38)</f>
        <v>125.5</v>
      </c>
      <c r="T38" s="310"/>
      <c r="U38" s="309">
        <f>S38+T38</f>
        <v>125.5</v>
      </c>
      <c r="V38" s="312">
        <v>353.3</v>
      </c>
      <c r="W38" s="311">
        <v>250.2</v>
      </c>
      <c r="X38" s="311">
        <v>356.8</v>
      </c>
      <c r="Y38" s="310">
        <f>SUM(V38:X38)</f>
        <v>960.3</v>
      </c>
      <c r="Z38" s="310"/>
      <c r="AA38" s="309">
        <f>Y38+Z38</f>
        <v>960.3</v>
      </c>
      <c r="AB38" s="618">
        <f>IFERROR(AA38/O38,0)</f>
        <v>1.1411764705882352</v>
      </c>
      <c r="AC38" s="4"/>
      <c r="AD38" s="4"/>
    </row>
    <row r="39" spans="1:30" ht="17.25" customHeight="1" thickBot="1" x14ac:dyDescent="0.3">
      <c r="A39" s="4"/>
      <c r="B39" s="307" t="s">
        <v>48</v>
      </c>
      <c r="C39" s="306" t="s">
        <v>31</v>
      </c>
      <c r="D39" s="301">
        <f>SUM(D35:D38)+SUM(D28:D32)</f>
        <v>3337.6260000000002</v>
      </c>
      <c r="E39" s="301">
        <f>SUM(E35:E38)+SUM(E28:E32)</f>
        <v>25293.531000000003</v>
      </c>
      <c r="F39" s="301">
        <f>SUM(F35:F38)+SUM(F28:F32)</f>
        <v>1417.6460000000002</v>
      </c>
      <c r="G39" s="300">
        <f>SUM(D39:F39)</f>
        <v>30048.803000000004</v>
      </c>
      <c r="H39" s="299">
        <f>SUM(H28:H32)+SUM(H35:H38)</f>
        <v>0</v>
      </c>
      <c r="I39" s="298">
        <f>SUM(I35:I38)+SUM(I28:I32)</f>
        <v>30048.803</v>
      </c>
      <c r="J39" s="305">
        <f>SUM(J35:J38)+SUM(J28:J32)</f>
        <v>4580.2</v>
      </c>
      <c r="K39" s="305">
        <f>SUM(K35:K38)+SUM(K28:K32)</f>
        <v>24725.1</v>
      </c>
      <c r="L39" s="305">
        <f>SUM(L35:L38)+SUM(L28:L32)</f>
        <v>1292.5</v>
      </c>
      <c r="M39" s="304">
        <f>SUM(J39:L39)</f>
        <v>30597.8</v>
      </c>
      <c r="N39" s="303">
        <f>SUM(N28:N32)+SUM(N35:N38)</f>
        <v>0</v>
      </c>
      <c r="O39" s="302">
        <f>SUM(O35:O38)+SUM(O28:O32)</f>
        <v>30597.800000000003</v>
      </c>
      <c r="P39" s="301">
        <f>SUM(P35:P38)+SUM(P28:P32)</f>
        <v>1882.1</v>
      </c>
      <c r="Q39" s="301">
        <f>Q29+Q31+Q32+Q35+Q38</f>
        <v>11780.6</v>
      </c>
      <c r="R39" s="301">
        <f>SUM(R35:R38)+SUM(R28:R32)</f>
        <v>643.30000000000007</v>
      </c>
      <c r="S39" s="300">
        <f>SUM(P39:R39)</f>
        <v>14306</v>
      </c>
      <c r="T39" s="299">
        <f>SUM(T28:T32)+SUM(T35:T38)</f>
        <v>0</v>
      </c>
      <c r="U39" s="298">
        <f>SUM(U35:U38)+SUM(U28:U32)</f>
        <v>14306</v>
      </c>
      <c r="V39" s="301">
        <f>SUM(V35:V38)+SUM(V28:V32)</f>
        <v>5222.1000000000004</v>
      </c>
      <c r="W39" s="301">
        <f>SUM(W35:W38)+SUM(W28:W32)</f>
        <v>26351.199999999997</v>
      </c>
      <c r="X39" s="301">
        <f>SUM(X35:X38)+SUM(X28:X32)</f>
        <v>1363</v>
      </c>
      <c r="Y39" s="300">
        <f>SUM(V39:X39)</f>
        <v>32936.299999999996</v>
      </c>
      <c r="Z39" s="299">
        <f>SUM(Z28:Z32)+SUM(Z35:Z38)</f>
        <v>0</v>
      </c>
      <c r="AA39" s="298">
        <f>SUM(AA35:AA38)+SUM(AA28:AA32)</f>
        <v>32936.300000000003</v>
      </c>
      <c r="AB39" s="616">
        <f>IFERROR(AA39/O39,0)</f>
        <v>1.0764270633836419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292">
        <f>D24-D39</f>
        <v>82.373999999999796</v>
      </c>
      <c r="E40" s="292">
        <f>E24-E39</f>
        <v>0</v>
      </c>
      <c r="F40" s="292">
        <f>F24-F39</f>
        <v>0</v>
      </c>
      <c r="G40" s="291">
        <f>G24-G39</f>
        <v>82.373999999996158</v>
      </c>
      <c r="H40" s="291">
        <f>H24-H39</f>
        <v>0</v>
      </c>
      <c r="I40" s="290">
        <f>I24-I39</f>
        <v>82.373999999999796</v>
      </c>
      <c r="J40" s="292">
        <f>J24-J39</f>
        <v>0</v>
      </c>
      <c r="K40" s="292">
        <f>K24-K39</f>
        <v>0</v>
      </c>
      <c r="L40" s="292">
        <f>L24-L39</f>
        <v>0</v>
      </c>
      <c r="M40" s="294">
        <f>M24-M39</f>
        <v>0</v>
      </c>
      <c r="N40" s="294">
        <f>N24-N39</f>
        <v>0</v>
      </c>
      <c r="O40" s="293">
        <f>O24-O39</f>
        <v>0</v>
      </c>
      <c r="P40" s="292">
        <f>P24-P39</f>
        <v>127.5</v>
      </c>
      <c r="Q40" s="292">
        <f>Q24-Q39</f>
        <v>0</v>
      </c>
      <c r="R40" s="292">
        <f>R24-R39</f>
        <v>197.89999999999998</v>
      </c>
      <c r="S40" s="291">
        <f>S24-S39</f>
        <v>325.40000000000146</v>
      </c>
      <c r="T40" s="291">
        <f>T24-T39</f>
        <v>0</v>
      </c>
      <c r="U40" s="290">
        <f>U24-U39</f>
        <v>325.40000000000146</v>
      </c>
      <c r="V40" s="292">
        <f>V24-V39</f>
        <v>0</v>
      </c>
      <c r="W40" s="292">
        <f>W24-W39</f>
        <v>0</v>
      </c>
      <c r="X40" s="292">
        <f>X24-X39</f>
        <v>0</v>
      </c>
      <c r="Y40" s="291">
        <f>Y24-Y39</f>
        <v>0</v>
      </c>
      <c r="Z40" s="291">
        <f>Z24-Z39</f>
        <v>0</v>
      </c>
      <c r="AA40" s="290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285"/>
      <c r="E41" s="284"/>
      <c r="F41" s="284"/>
      <c r="G41" s="283"/>
      <c r="H41" s="286"/>
      <c r="I41" s="281">
        <f>I40-D16</f>
        <v>-3162.6260000000002</v>
      </c>
      <c r="J41" s="285"/>
      <c r="K41" s="284"/>
      <c r="L41" s="284"/>
      <c r="M41" s="283"/>
      <c r="N41" s="282"/>
      <c r="O41" s="281">
        <f>O40-J16</f>
        <v>-3922.4</v>
      </c>
      <c r="P41" s="285"/>
      <c r="Q41" s="284"/>
      <c r="R41" s="284"/>
      <c r="S41" s="283"/>
      <c r="T41" s="282"/>
      <c r="U41" s="281">
        <f>U40-P16</f>
        <v>-1597.1999999999985</v>
      </c>
      <c r="V41" s="285"/>
      <c r="W41" s="284"/>
      <c r="X41" s="284"/>
      <c r="Y41" s="283"/>
      <c r="Z41" s="282"/>
      <c r="AA41" s="281">
        <f>AA40-V16</f>
        <v>-4500</v>
      </c>
      <c r="AB41" s="612">
        <f>IFERROR(AA41/O41,0)</f>
        <v>1.1472567815623087</v>
      </c>
      <c r="AC41" s="4"/>
      <c r="AD41" s="4"/>
    </row>
    <row r="42" spans="1:30" ht="8.25" customHeight="1" thickBot="1" x14ac:dyDescent="0.3">
      <c r="A42" s="4"/>
      <c r="B42" s="272"/>
      <c r="C42" s="164"/>
      <c r="D42" s="279"/>
      <c r="E42" s="256"/>
      <c r="F42" s="256"/>
      <c r="G42" s="4"/>
      <c r="H42" s="256"/>
      <c r="I42" s="256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106" t="s">
        <v>41</v>
      </c>
      <c r="E43" s="278" t="s">
        <v>83</v>
      </c>
      <c r="F43" s="277" t="s">
        <v>36</v>
      </c>
      <c r="G43" s="256"/>
      <c r="H43" s="256"/>
      <c r="I43" s="255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106" t="s">
        <v>41</v>
      </c>
      <c r="W43" s="278" t="s">
        <v>83</v>
      </c>
      <c r="X43" s="277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272"/>
      <c r="C44" s="276"/>
      <c r="D44" s="266">
        <v>267.39999999999998</v>
      </c>
      <c r="E44" s="275">
        <v>267.39999999999998</v>
      </c>
      <c r="F44" s="274">
        <v>0</v>
      </c>
      <c r="G44" s="256"/>
      <c r="H44" s="256"/>
      <c r="I44" s="255"/>
      <c r="J44" s="266">
        <v>267.39999999999998</v>
      </c>
      <c r="K44" s="275">
        <v>267.39999999999998</v>
      </c>
      <c r="L44" s="274">
        <v>0</v>
      </c>
      <c r="M44" s="273"/>
      <c r="N44" s="273"/>
      <c r="O44" s="273"/>
      <c r="P44" s="266">
        <v>133.5</v>
      </c>
      <c r="Q44" s="275">
        <v>133.5</v>
      </c>
      <c r="R44" s="274">
        <v>0</v>
      </c>
      <c r="S44" s="4"/>
      <c r="T44" s="4"/>
      <c r="U44" s="4"/>
      <c r="V44" s="266">
        <v>267.39999999999998</v>
      </c>
      <c r="W44" s="275">
        <v>267.39999999999998</v>
      </c>
      <c r="X44" s="274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272"/>
      <c r="C45" s="164"/>
      <c r="D45" s="273"/>
      <c r="E45" s="256"/>
      <c r="F45" s="256"/>
      <c r="G45" s="256"/>
      <c r="H45" s="256"/>
      <c r="I45" s="255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95" t="s">
        <v>86</v>
      </c>
      <c r="E46" s="269" t="s">
        <v>84</v>
      </c>
      <c r="F46" s="256"/>
      <c r="G46" s="256"/>
      <c r="H46" s="256"/>
      <c r="I46" s="255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4"/>
      <c r="T46" s="4"/>
      <c r="U46" s="4"/>
      <c r="V46" s="95" t="s">
        <v>86</v>
      </c>
      <c r="W46" s="269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257"/>
      <c r="C47" s="268"/>
      <c r="D47" s="266">
        <v>100</v>
      </c>
      <c r="E47" s="265">
        <v>270</v>
      </c>
      <c r="F47" s="256"/>
      <c r="G47" s="256"/>
      <c r="H47" s="256"/>
      <c r="I47" s="255"/>
      <c r="J47" s="266">
        <v>0</v>
      </c>
      <c r="K47" s="265">
        <v>0</v>
      </c>
      <c r="L47" s="267"/>
      <c r="M47" s="267"/>
      <c r="N47" s="4"/>
      <c r="O47" s="4"/>
      <c r="P47" s="266">
        <v>0</v>
      </c>
      <c r="Q47" s="265">
        <v>0</v>
      </c>
      <c r="R47" s="4"/>
      <c r="S47" s="4"/>
      <c r="T47" s="4"/>
      <c r="U47" s="4"/>
      <c r="V47" s="266">
        <v>0</v>
      </c>
      <c r="W47" s="265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257"/>
      <c r="C48" s="164"/>
      <c r="D48" s="256"/>
      <c r="E48" s="256"/>
      <c r="F48" s="256"/>
      <c r="G48" s="256"/>
      <c r="H48" s="256"/>
      <c r="I48" s="255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257"/>
      <c r="C49" s="261" t="s">
        <v>81</v>
      </c>
      <c r="D49" s="260" t="s">
        <v>72</v>
      </c>
      <c r="E49" s="260" t="s">
        <v>73</v>
      </c>
      <c r="F49" s="260" t="s">
        <v>91</v>
      </c>
      <c r="G49" s="260" t="s">
        <v>93</v>
      </c>
      <c r="H49" s="256"/>
      <c r="I49" s="4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260" t="s">
        <v>72</v>
      </c>
      <c r="Q49" s="260" t="s">
        <v>73</v>
      </c>
      <c r="R49" s="260" t="s">
        <v>91</v>
      </c>
      <c r="S49" s="260" t="s">
        <v>94</v>
      </c>
      <c r="T49" s="4"/>
      <c r="U49" s="4"/>
      <c r="V49" s="260" t="s">
        <v>95</v>
      </c>
      <c r="W49" s="260" t="s">
        <v>73</v>
      </c>
      <c r="X49" s="260" t="s">
        <v>91</v>
      </c>
      <c r="Y49" s="260" t="s">
        <v>94</v>
      </c>
      <c r="Z49" s="4"/>
      <c r="AA49" s="4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263"/>
      <c r="E50" s="263"/>
      <c r="F50" s="263"/>
      <c r="G50" s="262"/>
      <c r="H50" s="256"/>
      <c r="I50" s="4"/>
      <c r="J50" s="262"/>
      <c r="K50" s="263"/>
      <c r="L50" s="263"/>
      <c r="M50" s="262"/>
      <c r="N50" s="4"/>
      <c r="O50" s="4"/>
      <c r="P50" s="263"/>
      <c r="Q50" s="263"/>
      <c r="R50" s="263"/>
      <c r="S50" s="262"/>
      <c r="T50" s="4"/>
      <c r="U50" s="4"/>
      <c r="V50" s="263"/>
      <c r="W50" s="263"/>
      <c r="X50" s="263"/>
      <c r="Y50" s="262"/>
      <c r="Z50" s="4"/>
      <c r="AA50" s="4"/>
      <c r="AB50" s="4"/>
      <c r="AC50" s="4"/>
      <c r="AD50" s="4"/>
    </row>
    <row r="51" spans="1:30" x14ac:dyDescent="0.25">
      <c r="A51" s="4"/>
      <c r="B51" s="257"/>
      <c r="C51" s="259" t="s">
        <v>70</v>
      </c>
      <c r="D51" s="263">
        <v>204.197</v>
      </c>
      <c r="E51" s="263">
        <v>668.78899999999999</v>
      </c>
      <c r="F51" s="263">
        <v>88.88</v>
      </c>
      <c r="G51" s="262">
        <f>D51+E51-F51</f>
        <v>784.10599999999999</v>
      </c>
      <c r="H51" s="256"/>
      <c r="I51" s="4"/>
      <c r="J51" s="262">
        <v>224.9</v>
      </c>
      <c r="K51" s="263"/>
      <c r="L51" s="263"/>
      <c r="M51" s="262">
        <f>J51+K51-L51</f>
        <v>224.9</v>
      </c>
      <c r="N51" s="4"/>
      <c r="O51" s="4"/>
      <c r="P51" s="263">
        <v>784.10599999999999</v>
      </c>
      <c r="Q51" s="263">
        <v>157.86699999999999</v>
      </c>
      <c r="R51" s="263">
        <v>190.392</v>
      </c>
      <c r="S51" s="262">
        <f>P51+Q51-R51</f>
        <v>751.5809999999999</v>
      </c>
      <c r="T51" s="4"/>
      <c r="U51" s="4"/>
      <c r="V51" s="263">
        <v>751.6</v>
      </c>
      <c r="W51" s="263"/>
      <c r="X51" s="263"/>
      <c r="Y51" s="262">
        <f>V51+W51-X51</f>
        <v>751.6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259" t="s">
        <v>71</v>
      </c>
      <c r="D52" s="263">
        <v>241.524</v>
      </c>
      <c r="E52" s="263">
        <v>790.00300000000004</v>
      </c>
      <c r="F52" s="263">
        <v>748.33100000000002</v>
      </c>
      <c r="G52" s="262">
        <f>D52+E52-F52</f>
        <v>283.19600000000003</v>
      </c>
      <c r="H52" s="256"/>
      <c r="I52" s="4"/>
      <c r="J52" s="262">
        <v>343.2</v>
      </c>
      <c r="K52" s="263">
        <v>457.2</v>
      </c>
      <c r="L52" s="263">
        <v>267.39999999999998</v>
      </c>
      <c r="M52" s="262">
        <f>J52+K52-L52</f>
        <v>533</v>
      </c>
      <c r="N52" s="4"/>
      <c r="O52" s="4"/>
      <c r="P52" s="263">
        <v>283.19</v>
      </c>
      <c r="Q52" s="263">
        <v>63.298000000000002</v>
      </c>
      <c r="R52" s="263">
        <v>133.5</v>
      </c>
      <c r="S52" s="262">
        <f>P52+Q52-R52</f>
        <v>212.988</v>
      </c>
      <c r="T52" s="4"/>
      <c r="U52" s="4"/>
      <c r="V52" s="263">
        <v>213</v>
      </c>
      <c r="W52" s="263">
        <v>457.2</v>
      </c>
      <c r="X52" s="263">
        <v>267.39999999999998</v>
      </c>
      <c r="Y52" s="262">
        <f>V52+W52-X52</f>
        <v>402.80000000000007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259" t="s">
        <v>88</v>
      </c>
      <c r="D53" s="263">
        <v>181.58</v>
      </c>
      <c r="E53" s="263">
        <v>10.084</v>
      </c>
      <c r="F53" s="263">
        <v>5.1219999999999999</v>
      </c>
      <c r="G53" s="262">
        <f>D53+E53-F53</f>
        <v>186.54200000000003</v>
      </c>
      <c r="H53" s="256"/>
      <c r="I53" s="4"/>
      <c r="J53" s="262">
        <v>191.6</v>
      </c>
      <c r="K53" s="263"/>
      <c r="L53" s="263"/>
      <c r="M53" s="262">
        <f>J53+K53-L53</f>
        <v>191.6</v>
      </c>
      <c r="N53" s="4"/>
      <c r="O53" s="4"/>
      <c r="P53" s="263">
        <v>186.542</v>
      </c>
      <c r="Q53" s="263">
        <v>16.466000000000001</v>
      </c>
      <c r="R53" s="263">
        <v>0</v>
      </c>
      <c r="S53" s="262">
        <f>P53+Q53-R53</f>
        <v>203.00800000000001</v>
      </c>
      <c r="T53" s="4"/>
      <c r="U53" s="4"/>
      <c r="V53" s="263">
        <v>203</v>
      </c>
      <c r="W53" s="263"/>
      <c r="X53" s="263"/>
      <c r="Y53" s="262">
        <f>V53+W53-X53</f>
        <v>203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64" t="s">
        <v>89</v>
      </c>
      <c r="D54" s="263">
        <v>151.80799999999999</v>
      </c>
      <c r="E54" s="263">
        <v>361.30200000000002</v>
      </c>
      <c r="F54" s="263">
        <v>395.08</v>
      </c>
      <c r="G54" s="262">
        <f>D54+E54-F54</f>
        <v>118.03000000000003</v>
      </c>
      <c r="H54" s="256"/>
      <c r="I54" s="4"/>
      <c r="J54" s="262">
        <v>142.1</v>
      </c>
      <c r="K54" s="263">
        <v>356.4</v>
      </c>
      <c r="L54" s="263">
        <v>356.4</v>
      </c>
      <c r="M54" s="262">
        <f>J54+K54-L54</f>
        <v>142.10000000000002</v>
      </c>
      <c r="N54" s="4"/>
      <c r="O54" s="4"/>
      <c r="P54" s="263">
        <v>118.03</v>
      </c>
      <c r="Q54" s="263">
        <v>86.450999999999993</v>
      </c>
      <c r="R54" s="263">
        <v>45.268000000000001</v>
      </c>
      <c r="S54" s="262">
        <f>P54+Q54-R54</f>
        <v>159.21299999999999</v>
      </c>
      <c r="T54" s="4"/>
      <c r="U54" s="4"/>
      <c r="V54" s="263">
        <v>159.19999999999999</v>
      </c>
      <c r="W54" s="263">
        <v>191.178</v>
      </c>
      <c r="X54" s="263">
        <v>191.2</v>
      </c>
      <c r="Y54" s="262">
        <f>V54+W54-X54</f>
        <v>159.178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257"/>
      <c r="C55" s="164"/>
      <c r="D55" s="256"/>
      <c r="E55" s="256"/>
      <c r="F55" s="256"/>
      <c r="G55" s="256"/>
      <c r="H55" s="25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257"/>
      <c r="C56" s="261" t="s">
        <v>74</v>
      </c>
      <c r="D56" s="260" t="s">
        <v>75</v>
      </c>
      <c r="E56" s="260" t="s">
        <v>96</v>
      </c>
      <c r="F56" s="256"/>
      <c r="G56" s="256"/>
      <c r="H56" s="256"/>
      <c r="I56" s="255"/>
      <c r="J56" s="260" t="s">
        <v>97</v>
      </c>
      <c r="K56" s="256"/>
      <c r="L56" s="256"/>
      <c r="M56" s="256"/>
      <c r="N56" s="256"/>
      <c r="O56" s="255"/>
      <c r="P56" s="260" t="s">
        <v>98</v>
      </c>
      <c r="Q56" s="255"/>
      <c r="R56" s="255"/>
      <c r="S56" s="255"/>
      <c r="T56" s="255"/>
      <c r="U56" s="255"/>
      <c r="V56" s="260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257"/>
      <c r="C57" s="259"/>
      <c r="D57" s="258">
        <v>39.700000000000003</v>
      </c>
      <c r="E57" s="258">
        <v>40.6</v>
      </c>
      <c r="F57" s="256"/>
      <c r="G57" s="256"/>
      <c r="H57" s="256"/>
      <c r="I57" s="255"/>
      <c r="J57" s="258">
        <v>40.6</v>
      </c>
      <c r="K57" s="256"/>
      <c r="L57" s="256"/>
      <c r="M57" s="256"/>
      <c r="N57" s="256"/>
      <c r="O57" s="255"/>
      <c r="P57" s="258">
        <v>38.6</v>
      </c>
      <c r="Q57" s="255"/>
      <c r="R57" s="255"/>
      <c r="S57" s="255"/>
      <c r="T57" s="255"/>
      <c r="U57" s="255"/>
      <c r="V57" s="258">
        <v>38.6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164"/>
      <c r="D58" s="256"/>
      <c r="E58" s="256"/>
      <c r="F58" s="256"/>
      <c r="G58" s="256"/>
      <c r="H58" s="256"/>
      <c r="I58" s="255"/>
      <c r="J58" s="256"/>
      <c r="K58" s="256"/>
      <c r="L58" s="256"/>
      <c r="M58" s="256"/>
      <c r="N58" s="256"/>
      <c r="O58" s="255"/>
      <c r="P58" s="255"/>
      <c r="Q58" s="255"/>
      <c r="R58" s="255"/>
      <c r="S58" s="255"/>
      <c r="T58" s="255"/>
      <c r="U58" s="255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4" t="s">
        <v>92</v>
      </c>
      <c r="C59" s="253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1"/>
      <c r="W59" s="251"/>
      <c r="X59" s="251"/>
      <c r="Y59" s="251"/>
      <c r="Z59" s="251"/>
      <c r="AA59" s="251"/>
      <c r="AB59" s="250"/>
      <c r="AC59" s="4"/>
      <c r="AD59" s="4"/>
    </row>
    <row r="60" spans="1:30" x14ac:dyDescent="0.25">
      <c r="A60" s="4"/>
      <c r="B60" s="249" t="s">
        <v>200</v>
      </c>
      <c r="M60"/>
      <c r="AB60" s="240"/>
      <c r="AC60" s="4"/>
      <c r="AD60" s="4"/>
    </row>
    <row r="61" spans="1:30" x14ac:dyDescent="0.25">
      <c r="A61" s="4"/>
      <c r="B61" s="245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AB61" s="240"/>
      <c r="AC61" s="4"/>
      <c r="AD61" s="4"/>
    </row>
    <row r="62" spans="1:30" x14ac:dyDescent="0.25">
      <c r="A62" s="4"/>
      <c r="B62" s="245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AB62" s="240"/>
      <c r="AC62" s="4"/>
      <c r="AD62" s="4"/>
    </row>
    <row r="63" spans="1:30" x14ac:dyDescent="0.25">
      <c r="A63" s="4"/>
      <c r="B63" s="245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AB63" s="240"/>
      <c r="AC63" s="4"/>
      <c r="AD63" s="4"/>
    </row>
    <row r="64" spans="1:30" x14ac:dyDescent="0.25">
      <c r="A64" s="4"/>
      <c r="B64" s="246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AB64" s="240"/>
      <c r="AC64" s="4"/>
      <c r="AD64" s="4"/>
    </row>
    <row r="65" spans="1:30" x14ac:dyDescent="0.25">
      <c r="A65" s="4"/>
      <c r="B65" s="246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AB65" s="240"/>
      <c r="AC65" s="4"/>
      <c r="AD65" s="4"/>
    </row>
    <row r="66" spans="1:30" x14ac:dyDescent="0.25">
      <c r="A66" s="4"/>
      <c r="B66" s="246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B66" s="240"/>
      <c r="AC66" s="4"/>
      <c r="AD66" s="4"/>
    </row>
    <row r="67" spans="1:30" x14ac:dyDescent="0.25">
      <c r="A67" s="4"/>
      <c r="B67" s="246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246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246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246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246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246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246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x14ac:dyDescent="0.25">
      <c r="A76" s="4"/>
      <c r="B76" s="246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B76" s="240"/>
      <c r="AC76" s="4"/>
      <c r="AD76" s="4"/>
    </row>
    <row r="77" spans="1:30" x14ac:dyDescent="0.25">
      <c r="A77" s="4"/>
      <c r="B77" s="246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B77" s="240"/>
      <c r="AC77" s="4"/>
      <c r="AD77" s="4"/>
    </row>
    <row r="78" spans="1:30" x14ac:dyDescent="0.25">
      <c r="A78" s="4"/>
      <c r="B78" s="246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B78" s="240"/>
      <c r="AC78" s="4"/>
      <c r="AD78" s="4"/>
    </row>
    <row r="79" spans="1:30" x14ac:dyDescent="0.25">
      <c r="A79" s="4"/>
      <c r="B79" s="246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B79" s="240"/>
      <c r="AC79" s="4"/>
      <c r="AD79" s="4"/>
    </row>
    <row r="80" spans="1:30" x14ac:dyDescent="0.25">
      <c r="A80" s="4"/>
      <c r="B80" s="246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B80" s="240"/>
      <c r="AC80" s="4"/>
      <c r="AD80" s="4"/>
    </row>
    <row r="81" spans="1:30" x14ac:dyDescent="0.25">
      <c r="A81" s="4"/>
      <c r="B81" s="246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B81" s="240"/>
      <c r="AC81" s="4"/>
      <c r="AD81" s="4"/>
    </row>
    <row r="82" spans="1:30" x14ac:dyDescent="0.25">
      <c r="A82" s="4"/>
      <c r="B82" s="245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AB82" s="240"/>
      <c r="AC82" s="4"/>
      <c r="AD82" s="4"/>
    </row>
    <row r="83" spans="1:30" x14ac:dyDescent="0.25">
      <c r="A83" s="4"/>
      <c r="B83" s="244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AB83" s="240"/>
      <c r="AC83" s="4"/>
      <c r="AD83" s="4"/>
    </row>
    <row r="84" spans="1:30" x14ac:dyDescent="0.25">
      <c r="A84" s="4"/>
      <c r="B84" s="244"/>
      <c r="C84" s="242"/>
      <c r="D84" s="242"/>
      <c r="E84" s="242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AB84" s="240"/>
      <c r="AC84" s="4"/>
      <c r="AD84" s="4"/>
    </row>
    <row r="85" spans="1:30" x14ac:dyDescent="0.25">
      <c r="A85" s="4"/>
      <c r="B85" s="244"/>
      <c r="C85" s="243"/>
      <c r="D85" s="242"/>
      <c r="E85" s="242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AB85" s="240"/>
      <c r="AC85" s="4"/>
      <c r="AD85" s="4"/>
    </row>
    <row r="86" spans="1:30" x14ac:dyDescent="0.25">
      <c r="A86" s="4"/>
      <c r="B86" s="244"/>
      <c r="C86" s="243"/>
      <c r="D86" s="242"/>
      <c r="E86" s="242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AB86" s="240"/>
      <c r="AC86" s="4"/>
      <c r="AD86" s="4"/>
    </row>
    <row r="87" spans="1:30" x14ac:dyDescent="0.25">
      <c r="A87" s="4"/>
      <c r="B87" s="239"/>
      <c r="C87" s="238"/>
      <c r="D87" s="237"/>
      <c r="E87" s="237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5"/>
      <c r="W87" s="235"/>
      <c r="X87" s="235"/>
      <c r="Y87" s="235"/>
      <c r="Z87" s="235"/>
      <c r="AA87" s="235"/>
      <c r="AB87" s="234"/>
      <c r="AC87" s="4"/>
      <c r="AD87" s="4"/>
    </row>
    <row r="88" spans="1:30" x14ac:dyDescent="0.25">
      <c r="A88" s="4"/>
      <c r="B88" s="232"/>
      <c r="C88" s="233"/>
      <c r="D88" s="232"/>
      <c r="E88" s="232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232"/>
      <c r="C89" s="233"/>
      <c r="D89" s="232"/>
      <c r="E89" s="232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225" t="s">
        <v>80</v>
      </c>
      <c r="C91" s="230">
        <v>45575</v>
      </c>
      <c r="D91" s="225" t="s">
        <v>76</v>
      </c>
      <c r="E91" s="229" t="s">
        <v>199</v>
      </c>
      <c r="F91" s="229"/>
      <c r="G91" s="229"/>
      <c r="H91" s="225"/>
      <c r="I91" s="225" t="s">
        <v>77</v>
      </c>
      <c r="J91" s="228" t="s">
        <v>198</v>
      </c>
      <c r="K91" s="228"/>
      <c r="L91" s="228"/>
      <c r="M91" s="228"/>
      <c r="N91" s="225"/>
      <c r="O91" s="225"/>
      <c r="P91" s="225"/>
      <c r="Q91" s="225"/>
      <c r="R91" s="225"/>
      <c r="S91" s="225"/>
      <c r="T91" s="225"/>
      <c r="U91" s="225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4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225"/>
      <c r="C93" s="225"/>
      <c r="D93" s="225" t="s">
        <v>79</v>
      </c>
      <c r="E93" s="227"/>
      <c r="F93" s="227"/>
      <c r="G93" s="227"/>
      <c r="H93" s="225"/>
      <c r="I93" s="225" t="s">
        <v>79</v>
      </c>
      <c r="J93" s="226"/>
      <c r="K93" s="226"/>
      <c r="L93" s="226"/>
      <c r="M93" s="226"/>
      <c r="N93" s="225"/>
      <c r="O93" s="225"/>
      <c r="P93" s="225"/>
      <c r="Q93" s="225"/>
      <c r="R93" s="225"/>
      <c r="S93" s="225"/>
      <c r="T93" s="225"/>
      <c r="U93" s="225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225"/>
      <c r="C94" s="225"/>
      <c r="D94" s="225"/>
      <c r="E94" s="227"/>
      <c r="F94" s="227"/>
      <c r="G94" s="227"/>
      <c r="H94" s="225"/>
      <c r="I94" s="225"/>
      <c r="J94" s="226"/>
      <c r="K94" s="226"/>
      <c r="L94" s="226"/>
      <c r="M94" s="226"/>
      <c r="N94" s="225"/>
      <c r="O94" s="225"/>
      <c r="P94" s="225"/>
      <c r="Q94" s="225"/>
      <c r="R94" s="225"/>
      <c r="S94" s="225"/>
      <c r="T94" s="225"/>
      <c r="U94" s="225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4"/>
      <c r="W96" s="4"/>
      <c r="X96" s="4"/>
      <c r="Y96" s="4"/>
      <c r="Z96" s="4"/>
      <c r="AA96" s="4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45" priority="3" operator="equal">
      <formula>0</formula>
    </cfRule>
    <cfRule type="containsErrors" dxfId="44" priority="4">
      <formula>ISERROR(AB15)</formula>
    </cfRule>
  </conditionalFormatting>
  <conditionalFormatting sqref="AB28:AB41">
    <cfRule type="cellIs" dxfId="43" priority="1" operator="equal">
      <formula>0</formula>
    </cfRule>
    <cfRule type="containsErrors" dxfId="4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276"/>
  <sheetViews>
    <sheetView showGridLines="0" zoomScale="80" zoomScaleNormal="80" zoomScaleSheetLayoutView="80" workbookViewId="0">
      <selection activeCell="B82" sqref="B82:U8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8.710937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208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>
        <v>46789758</v>
      </c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46789758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207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176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2543.1999999999998</v>
      </c>
      <c r="G15" s="63">
        <f>SUM(D15:F15)</f>
        <v>2543.1999999999998</v>
      </c>
      <c r="H15" s="66"/>
      <c r="I15" s="14">
        <f>G15+H15</f>
        <v>2543.1999999999998</v>
      </c>
      <c r="J15" s="687"/>
      <c r="K15" s="686"/>
      <c r="L15" s="685">
        <v>2600</v>
      </c>
      <c r="M15" s="684">
        <f>SUM(J15:L15)</f>
        <v>2600</v>
      </c>
      <c r="N15" s="679"/>
      <c r="O15" s="621">
        <f>M15+N15</f>
        <v>2600</v>
      </c>
      <c r="P15" s="12"/>
      <c r="Q15" s="13"/>
      <c r="R15" s="646">
        <v>1461.5</v>
      </c>
      <c r="S15" s="63">
        <f>SUM(P15:R15)</f>
        <v>1461.5</v>
      </c>
      <c r="T15" s="66"/>
      <c r="U15" s="14">
        <f>S15+T15</f>
        <v>1461.5</v>
      </c>
      <c r="V15" s="12"/>
      <c r="W15" s="13"/>
      <c r="X15" s="56">
        <v>2600</v>
      </c>
      <c r="Y15" s="63">
        <f>SUM(V15:X15)</f>
        <v>2600</v>
      </c>
      <c r="Z15" s="66"/>
      <c r="AA15" s="14">
        <f>Y15+Z15</f>
        <v>2600</v>
      </c>
      <c r="AB15" s="620">
        <f>IFERROR(AA15/O15,0)</f>
        <v>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5201.6000000000004</v>
      </c>
      <c r="E16" s="16"/>
      <c r="F16" s="16"/>
      <c r="G16" s="64">
        <f>SUM(D16:F16)</f>
        <v>5201.6000000000004</v>
      </c>
      <c r="H16" s="67"/>
      <c r="I16" s="14">
        <f>G16+H16</f>
        <v>5201.6000000000004</v>
      </c>
      <c r="J16" s="683">
        <v>5370.1</v>
      </c>
      <c r="K16" s="674"/>
      <c r="L16" s="674"/>
      <c r="M16" s="672">
        <f>SUM(J16:L16)</f>
        <v>5370.1</v>
      </c>
      <c r="N16" s="682"/>
      <c r="O16" s="621">
        <f>M16+N16</f>
        <v>5370.1</v>
      </c>
      <c r="P16" s="57">
        <v>2720.3</v>
      </c>
      <c r="Q16" s="645"/>
      <c r="R16" s="16"/>
      <c r="S16" s="64">
        <f>SUM(P16:R16)</f>
        <v>2720.3</v>
      </c>
      <c r="T16" s="67"/>
      <c r="U16" s="14">
        <f>S16+T16</f>
        <v>2720.3</v>
      </c>
      <c r="V16" s="57">
        <v>5900</v>
      </c>
      <c r="W16" s="16"/>
      <c r="X16" s="16"/>
      <c r="Y16" s="64">
        <f>SUM(V16:X16)</f>
        <v>5900</v>
      </c>
      <c r="Z16" s="67"/>
      <c r="AA16" s="14">
        <f>Y16+Z16</f>
        <v>5900</v>
      </c>
      <c r="AB16" s="620">
        <f>IFERROR(AA16/O16,0)</f>
        <v>1.0986760023090818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1287.9000000000001</v>
      </c>
      <c r="E17" s="17"/>
      <c r="F17" s="17"/>
      <c r="G17" s="64">
        <f>SUM(D17:F17)</f>
        <v>1287.9000000000001</v>
      </c>
      <c r="H17" s="68"/>
      <c r="I17" s="14">
        <f>G17+H17</f>
        <v>1287.9000000000001</v>
      </c>
      <c r="J17" s="421">
        <v>514.70000000000005</v>
      </c>
      <c r="K17" s="677"/>
      <c r="L17" s="677"/>
      <c r="M17" s="672">
        <f>SUM(J17:L17)</f>
        <v>514.70000000000005</v>
      </c>
      <c r="N17" s="681"/>
      <c r="O17" s="621">
        <f>M17+N17</f>
        <v>514.70000000000005</v>
      </c>
      <c r="P17" s="58">
        <v>1377.6</v>
      </c>
      <c r="Q17" s="17">
        <v>219</v>
      </c>
      <c r="R17" s="17"/>
      <c r="S17" s="64">
        <f>SUM(P17:R17)</f>
        <v>1596.6</v>
      </c>
      <c r="T17" s="68"/>
      <c r="U17" s="14">
        <f>S17+T17</f>
        <v>1596.6</v>
      </c>
      <c r="V17" s="58">
        <v>614.9</v>
      </c>
      <c r="W17" s="17"/>
      <c r="X17" s="17"/>
      <c r="Y17" s="64">
        <f>SUM(V17:X17)</f>
        <v>614.9</v>
      </c>
      <c r="Z17" s="68"/>
      <c r="AA17" s="14">
        <f>Y17+Z17</f>
        <v>614.9</v>
      </c>
      <c r="AB17" s="620">
        <f>IFERROR(AA17/O17,0)</f>
        <v>1.1946765105886923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43564.5</v>
      </c>
      <c r="F18" s="17"/>
      <c r="G18" s="64">
        <f>SUM(D18:F18)</f>
        <v>43564.5</v>
      </c>
      <c r="H18" s="66"/>
      <c r="I18" s="14">
        <f>G18+H18</f>
        <v>43564.5</v>
      </c>
      <c r="J18" s="675"/>
      <c r="K18" s="680">
        <v>48100</v>
      </c>
      <c r="L18" s="677"/>
      <c r="M18" s="672">
        <f>SUM(J18:L18)</f>
        <v>48100</v>
      </c>
      <c r="N18" s="679"/>
      <c r="O18" s="621">
        <f>M18+N18</f>
        <v>48100</v>
      </c>
      <c r="P18" s="18"/>
      <c r="Q18" s="59">
        <v>20778.599999999999</v>
      </c>
      <c r="R18" s="17"/>
      <c r="S18" s="64">
        <f>SUM(P18:R18)</f>
        <v>20778.599999999999</v>
      </c>
      <c r="T18" s="66"/>
      <c r="U18" s="14">
        <f>S18+T18</f>
        <v>20778.599999999999</v>
      </c>
      <c r="V18" s="18"/>
      <c r="W18" s="59">
        <v>48100</v>
      </c>
      <c r="X18" s="17"/>
      <c r="Y18" s="64">
        <f>SUM(V18:X18)</f>
        <v>48100</v>
      </c>
      <c r="Z18" s="66"/>
      <c r="AA18" s="14">
        <f>Y18+Z18</f>
        <v>48100</v>
      </c>
      <c r="AB18" s="620">
        <f>IFERROR(AA18/O18,0)</f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900.4</v>
      </c>
      <c r="E19" s="17"/>
      <c r="F19" s="60"/>
      <c r="G19" s="64">
        <f>SUM(D19:F19)</f>
        <v>900.4</v>
      </c>
      <c r="H19" s="69"/>
      <c r="I19" s="14">
        <f>G19+H19</f>
        <v>900.4</v>
      </c>
      <c r="J19" s="678">
        <v>903.8</v>
      </c>
      <c r="K19" s="677"/>
      <c r="L19" s="415"/>
      <c r="M19" s="672">
        <f>SUM(J19:L19)</f>
        <v>903.8</v>
      </c>
      <c r="N19" s="676"/>
      <c r="O19" s="621">
        <f>M19+N19</f>
        <v>903.8</v>
      </c>
      <c r="P19" s="19">
        <v>451</v>
      </c>
      <c r="Q19" s="17"/>
      <c r="R19" s="60"/>
      <c r="S19" s="64">
        <f>SUM(P19:R19)</f>
        <v>451</v>
      </c>
      <c r="T19" s="69"/>
      <c r="U19" s="14">
        <f>S19+T19</f>
        <v>451</v>
      </c>
      <c r="V19" s="19">
        <v>903.8</v>
      </c>
      <c r="W19" s="17"/>
      <c r="X19" s="60"/>
      <c r="Y19" s="64">
        <f>SUM(V19:X19)</f>
        <v>903.8</v>
      </c>
      <c r="Z19" s="69"/>
      <c r="AA19" s="14">
        <f>Y19+Z19</f>
        <v>903.8</v>
      </c>
      <c r="AB19" s="620">
        <f>IFERROR(AA19/O19,0)</f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>
        <f>SUM(D20:F20)</f>
        <v>0</v>
      </c>
      <c r="H20" s="69"/>
      <c r="I20" s="14">
        <f>G20+H20</f>
        <v>0</v>
      </c>
      <c r="J20" s="675"/>
      <c r="K20" s="674"/>
      <c r="L20" s="673">
        <v>100</v>
      </c>
      <c r="M20" s="672">
        <f>SUM(J20:L20)</f>
        <v>100</v>
      </c>
      <c r="N20" s="676"/>
      <c r="O20" s="621">
        <f>M20+N20</f>
        <v>100</v>
      </c>
      <c r="P20" s="18"/>
      <c r="Q20" s="16"/>
      <c r="R20" s="61">
        <v>88.6</v>
      </c>
      <c r="S20" s="64">
        <f>SUM(P20:R20)</f>
        <v>88.6</v>
      </c>
      <c r="T20" s="69"/>
      <c r="U20" s="14">
        <f>S20+T20</f>
        <v>88.6</v>
      </c>
      <c r="V20" s="18"/>
      <c r="W20" s="16"/>
      <c r="X20" s="61">
        <v>100</v>
      </c>
      <c r="Y20" s="64">
        <f>SUM(V20:X20)</f>
        <v>100</v>
      </c>
      <c r="Z20" s="69"/>
      <c r="AA20" s="14">
        <f>Y20+Z20</f>
        <v>100</v>
      </c>
      <c r="AB20" s="620">
        <f>IFERROR(AA20/O20,0)</f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550.79999999999995</v>
      </c>
      <c r="G21" s="64">
        <f>SUM(D21:F21)</f>
        <v>550.79999999999995</v>
      </c>
      <c r="H21" s="70">
        <v>466.2</v>
      </c>
      <c r="I21" s="14">
        <f>G21+H21</f>
        <v>1017</v>
      </c>
      <c r="J21" s="675"/>
      <c r="K21" s="674"/>
      <c r="L21" s="673"/>
      <c r="M21" s="672">
        <f>SUM(J21:L21)</f>
        <v>0</v>
      </c>
      <c r="N21" s="671">
        <v>400</v>
      </c>
      <c r="O21" s="621">
        <f>M21+N21</f>
        <v>400</v>
      </c>
      <c r="P21" s="18"/>
      <c r="Q21" s="16">
        <v>35.6</v>
      </c>
      <c r="R21" s="61">
        <v>160.1</v>
      </c>
      <c r="S21" s="64">
        <f>SUM(P21:R21)</f>
        <v>195.7</v>
      </c>
      <c r="T21" s="70">
        <v>296.60000000000002</v>
      </c>
      <c r="U21" s="14">
        <f>S21+T21</f>
        <v>492.3</v>
      </c>
      <c r="V21" s="18"/>
      <c r="W21" s="16"/>
      <c r="X21" s="61"/>
      <c r="Y21" s="64">
        <f>SUM(V21:X21)</f>
        <v>0</v>
      </c>
      <c r="Z21" s="70">
        <v>400</v>
      </c>
      <c r="AA21" s="14">
        <f>Y21+Z21</f>
        <v>400</v>
      </c>
      <c r="AB21" s="620">
        <f>IFERROR(AA21/O21,0)</f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>
        <v>466.2</v>
      </c>
      <c r="I22" s="14">
        <f>G22+H22</f>
        <v>466.2</v>
      </c>
      <c r="J22" s="675"/>
      <c r="K22" s="674"/>
      <c r="L22" s="673"/>
      <c r="M22" s="672">
        <f>SUM(J22:L22)</f>
        <v>0</v>
      </c>
      <c r="N22" s="671">
        <v>400</v>
      </c>
      <c r="O22" s="621">
        <f>M22+N22</f>
        <v>400</v>
      </c>
      <c r="P22" s="18"/>
      <c r="Q22" s="16"/>
      <c r="R22" s="61"/>
      <c r="S22" s="64">
        <f>SUM(P22:R22)</f>
        <v>0</v>
      </c>
      <c r="T22" s="70"/>
      <c r="U22" s="14">
        <f>S22+T22</f>
        <v>0</v>
      </c>
      <c r="V22" s="18"/>
      <c r="W22" s="16"/>
      <c r="X22" s="61"/>
      <c r="Y22" s="64">
        <f>SUM(V22:X22)</f>
        <v>0</v>
      </c>
      <c r="Z22" s="70">
        <v>400</v>
      </c>
      <c r="AA22" s="14">
        <f>Y22+Z22</f>
        <v>400</v>
      </c>
      <c r="AB22" s="620">
        <f>IFERROR(AA22/O22,0)</f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4">
        <f>SUM(D23:F23)</f>
        <v>0</v>
      </c>
      <c r="H23" s="71">
        <v>0</v>
      </c>
      <c r="I23" s="23">
        <f>G23+H23</f>
        <v>0</v>
      </c>
      <c r="J23" s="670"/>
      <c r="K23" s="669"/>
      <c r="L23" s="668"/>
      <c r="M23" s="667">
        <f>SUM(J23:L23)</f>
        <v>0</v>
      </c>
      <c r="N23" s="666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7389.9</v>
      </c>
      <c r="E24" s="27">
        <f>SUM(E15:E21)</f>
        <v>43564.5</v>
      </c>
      <c r="F24" s="27">
        <f>SUM(F15:F21)</f>
        <v>3094</v>
      </c>
      <c r="G24" s="28">
        <f>SUM(D24:F24)</f>
        <v>54048.4</v>
      </c>
      <c r="H24" s="29">
        <v>466.2</v>
      </c>
      <c r="I24" s="29">
        <v>54514.6</v>
      </c>
      <c r="J24" s="665">
        <f>SUM(J15:J21)</f>
        <v>6788.6</v>
      </c>
      <c r="K24" s="664">
        <f>SUM(K15:K21)</f>
        <v>48100</v>
      </c>
      <c r="L24" s="664">
        <f>SUM(L15:L21)</f>
        <v>2700</v>
      </c>
      <c r="M24" s="663">
        <f>SUM(J24:L24)</f>
        <v>57588.6</v>
      </c>
      <c r="N24" s="644">
        <f>SUM(N15:N21)</f>
        <v>400</v>
      </c>
      <c r="O24" s="644">
        <f>SUM(O15:O21)</f>
        <v>57988.600000000006</v>
      </c>
      <c r="P24" s="26">
        <f>SUM(P15:P21)</f>
        <v>4548.8999999999996</v>
      </c>
      <c r="Q24" s="27">
        <f>SUM(Q15:Q21)</f>
        <v>21033.199999999997</v>
      </c>
      <c r="R24" s="27">
        <f>SUM(R15:R21)</f>
        <v>1710.1999999999998</v>
      </c>
      <c r="S24" s="28">
        <f>SUM(P24:R24)</f>
        <v>27292.3</v>
      </c>
      <c r="T24" s="29">
        <f>SUM(T15:T21)</f>
        <v>296.60000000000002</v>
      </c>
      <c r="U24" s="29">
        <f>SUM(U15:U21)</f>
        <v>27588.899999999998</v>
      </c>
      <c r="V24" s="26">
        <f>SUM(V15:V21)</f>
        <v>7418.7</v>
      </c>
      <c r="W24" s="27">
        <f>SUM(W15:W21)</f>
        <v>48100</v>
      </c>
      <c r="X24" s="27">
        <f>SUM(X15:X21)</f>
        <v>2700</v>
      </c>
      <c r="Y24" s="28">
        <f>SUM(V24:X24)</f>
        <v>58218.7</v>
      </c>
      <c r="Z24" s="29">
        <f>SUM(Z15:Z21)</f>
        <v>400</v>
      </c>
      <c r="AA24" s="29">
        <f>SUM(AA15:AA21)</f>
        <v>58618.700000000004</v>
      </c>
      <c r="AB24" s="643">
        <f>IFERROR(AA24/O24,0)</f>
        <v>1.0108659288204922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638" t="s">
        <v>176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632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625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477.3</v>
      </c>
      <c r="E28" s="72"/>
      <c r="F28" s="72"/>
      <c r="G28" s="73">
        <f>SUM(D28:F28)</f>
        <v>477.3</v>
      </c>
      <c r="H28" s="73"/>
      <c r="I28" s="37">
        <f>G28+H28</f>
        <v>477.3</v>
      </c>
      <c r="J28" s="662">
        <v>400</v>
      </c>
      <c r="K28" s="661"/>
      <c r="L28" s="661"/>
      <c r="M28" s="660">
        <f>SUM(J28:L28)</f>
        <v>400</v>
      </c>
      <c r="N28" s="660"/>
      <c r="O28" s="624">
        <f>M28+N28</f>
        <v>400</v>
      </c>
      <c r="P28" s="80">
        <v>162.80000000000001</v>
      </c>
      <c r="Q28" s="72"/>
      <c r="R28" s="72"/>
      <c r="S28" s="73">
        <f>SUM(P28:R28)</f>
        <v>162.80000000000001</v>
      </c>
      <c r="T28" s="73"/>
      <c r="U28" s="37">
        <f>S28+T28</f>
        <v>162.80000000000001</v>
      </c>
      <c r="V28" s="80">
        <v>400</v>
      </c>
      <c r="W28" s="72"/>
      <c r="X28" s="72" t="s">
        <v>87</v>
      </c>
      <c r="Y28" s="73">
        <f>SUM(V28:X28)</f>
        <v>400</v>
      </c>
      <c r="Z28" s="73"/>
      <c r="AA28" s="37">
        <f>Y28+Z28</f>
        <v>400</v>
      </c>
      <c r="AB28" s="620">
        <f>IFERROR(AA28/O28,0)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1065.2</v>
      </c>
      <c r="E29" s="74"/>
      <c r="F29" s="74">
        <v>2448.1999999999998</v>
      </c>
      <c r="G29" s="75">
        <f>SUM(D29:F29)</f>
        <v>3513.3999999999996</v>
      </c>
      <c r="H29" s="76">
        <v>28.7</v>
      </c>
      <c r="I29" s="14">
        <f>G29+H29</f>
        <v>3542.0999999999995</v>
      </c>
      <c r="J29" s="659">
        <v>400</v>
      </c>
      <c r="K29" s="658">
        <v>200</v>
      </c>
      <c r="L29" s="658">
        <v>2400</v>
      </c>
      <c r="M29" s="654">
        <f>SUM(J29:L29)</f>
        <v>3000</v>
      </c>
      <c r="N29" s="657">
        <v>60</v>
      </c>
      <c r="O29" s="621">
        <f>M29+N29</f>
        <v>3060</v>
      </c>
      <c r="P29" s="81">
        <v>265.60000000000002</v>
      </c>
      <c r="Q29" s="74">
        <v>208.2</v>
      </c>
      <c r="R29" s="74">
        <v>1443.6</v>
      </c>
      <c r="S29" s="75">
        <f>SUM(P29:R29)</f>
        <v>1917.3999999999999</v>
      </c>
      <c r="T29" s="76">
        <v>36.299999999999997</v>
      </c>
      <c r="U29" s="14">
        <f>S29+T29</f>
        <v>1953.6999999999998</v>
      </c>
      <c r="V29" s="81">
        <v>341.2</v>
      </c>
      <c r="W29" s="74">
        <v>200</v>
      </c>
      <c r="X29" s="74">
        <v>2400</v>
      </c>
      <c r="Y29" s="75">
        <f>SUM(V29:X29)</f>
        <v>2941.2</v>
      </c>
      <c r="Z29" s="76">
        <v>60</v>
      </c>
      <c r="AA29" s="14">
        <f>Y29+Z29</f>
        <v>3001.2</v>
      </c>
      <c r="AB29" s="620">
        <f>IFERROR(AA29/O29,0)</f>
        <v>0.98078431372549013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2373.9</v>
      </c>
      <c r="E30" s="77"/>
      <c r="F30" s="77"/>
      <c r="G30" s="75">
        <f>SUM(D30:F30)</f>
        <v>2373.9</v>
      </c>
      <c r="H30" s="75">
        <v>123.6</v>
      </c>
      <c r="I30" s="14">
        <f>G30+H30</f>
        <v>2497.5</v>
      </c>
      <c r="J30" s="656">
        <v>3000</v>
      </c>
      <c r="K30" s="486"/>
      <c r="L30" s="655"/>
      <c r="M30" s="654">
        <f>SUM(J30:L30)</f>
        <v>3000</v>
      </c>
      <c r="N30" s="654">
        <v>340</v>
      </c>
      <c r="O30" s="621">
        <f>M30+N30</f>
        <v>3340</v>
      </c>
      <c r="P30" s="82">
        <v>1658.6</v>
      </c>
      <c r="Q30" s="77"/>
      <c r="R30" s="77"/>
      <c r="S30" s="75">
        <f>SUM(P30:R30)</f>
        <v>1658.6</v>
      </c>
      <c r="T30" s="75"/>
      <c r="U30" s="14">
        <f>S30+T30</f>
        <v>1658.6</v>
      </c>
      <c r="V30" s="82">
        <v>3100</v>
      </c>
      <c r="W30" s="77"/>
      <c r="X30" s="77" t="s">
        <v>87</v>
      </c>
      <c r="Y30" s="75">
        <f>SUM(V30:X30)</f>
        <v>3100</v>
      </c>
      <c r="Z30" s="75">
        <v>340</v>
      </c>
      <c r="AA30" s="14">
        <f>Y30+Z30</f>
        <v>3440</v>
      </c>
      <c r="AB30" s="620">
        <f>IFERROR(AA30/O30,0)</f>
        <v>1.0299401197604789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887.8</v>
      </c>
      <c r="E31" s="77"/>
      <c r="F31" s="77">
        <v>8.6</v>
      </c>
      <c r="G31" s="75">
        <f>SUM(D31:F31)</f>
        <v>896.4</v>
      </c>
      <c r="H31" s="75">
        <v>7.9</v>
      </c>
      <c r="I31" s="14">
        <f>G31+H31</f>
        <v>904.3</v>
      </c>
      <c r="J31" s="656">
        <v>1154.7</v>
      </c>
      <c r="K31" s="655"/>
      <c r="L31" s="655">
        <v>100</v>
      </c>
      <c r="M31" s="654">
        <f>SUM(J31:L31)</f>
        <v>1254.7</v>
      </c>
      <c r="N31" s="654"/>
      <c r="O31" s="621">
        <f>M31+N31</f>
        <v>1254.7</v>
      </c>
      <c r="P31" s="82">
        <v>504.6</v>
      </c>
      <c r="Q31" s="77">
        <v>71.8</v>
      </c>
      <c r="R31" s="77">
        <v>90.6</v>
      </c>
      <c r="S31" s="75">
        <f>SUM(P31:R31)</f>
        <v>667</v>
      </c>
      <c r="T31" s="75"/>
      <c r="U31" s="14">
        <f>S31+T31</f>
        <v>667</v>
      </c>
      <c r="V31" s="82">
        <v>1359</v>
      </c>
      <c r="W31" s="77"/>
      <c r="X31" s="77">
        <v>100</v>
      </c>
      <c r="Y31" s="75">
        <f>SUM(V31:X31)</f>
        <v>1459</v>
      </c>
      <c r="Z31" s="75"/>
      <c r="AA31" s="14">
        <f>Y31+Z31</f>
        <v>1459</v>
      </c>
      <c r="AB31" s="620">
        <f>IFERROR(AA31/O31,0)</f>
        <v>1.162827767593847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745.1</v>
      </c>
      <c r="E32" s="77">
        <v>32452.1</v>
      </c>
      <c r="F32" s="77"/>
      <c r="G32" s="75">
        <f>SUM(D32:F32)</f>
        <v>33197.199999999997</v>
      </c>
      <c r="H32" s="75">
        <v>3.3</v>
      </c>
      <c r="I32" s="14">
        <f>G32+H32</f>
        <v>33200.5</v>
      </c>
      <c r="J32" s="656">
        <v>180</v>
      </c>
      <c r="K32" s="655">
        <v>34920</v>
      </c>
      <c r="L32" s="655"/>
      <c r="M32" s="654">
        <f>SUM(J32:L32)</f>
        <v>35100</v>
      </c>
      <c r="N32" s="654"/>
      <c r="O32" s="621">
        <f>M32+N32</f>
        <v>35100</v>
      </c>
      <c r="P32" s="83">
        <v>367.2</v>
      </c>
      <c r="Q32" s="77">
        <v>15898.4</v>
      </c>
      <c r="R32" s="77"/>
      <c r="S32" s="75">
        <f>SUM(P32:R32)</f>
        <v>16265.6</v>
      </c>
      <c r="T32" s="75"/>
      <c r="U32" s="14">
        <f>S32+T32</f>
        <v>16265.6</v>
      </c>
      <c r="V32" s="83">
        <v>150</v>
      </c>
      <c r="W32" s="77">
        <v>34920</v>
      </c>
      <c r="X32" s="77"/>
      <c r="Y32" s="75">
        <f>SUM(V32:X32)</f>
        <v>35070</v>
      </c>
      <c r="Z32" s="75"/>
      <c r="AA32" s="14">
        <f>Y32+Z32</f>
        <v>35070</v>
      </c>
      <c r="AB32" s="620">
        <f>IFERROR(AA32/O32,0)</f>
        <v>0.99914529914529915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745.1</v>
      </c>
      <c r="E33" s="77">
        <v>31328</v>
      </c>
      <c r="F33" s="77"/>
      <c r="G33" s="75">
        <f>SUM(D33:F33)</f>
        <v>32073.1</v>
      </c>
      <c r="H33" s="75"/>
      <c r="I33" s="14">
        <f>G33+H33</f>
        <v>32073.1</v>
      </c>
      <c r="J33" s="656">
        <v>150</v>
      </c>
      <c r="K33" s="655">
        <v>34720</v>
      </c>
      <c r="L33" s="655"/>
      <c r="M33" s="654">
        <f>SUM(J33:L33)</f>
        <v>34870</v>
      </c>
      <c r="N33" s="654"/>
      <c r="O33" s="621">
        <f>M33+N33</f>
        <v>34870</v>
      </c>
      <c r="P33" s="83">
        <v>367.2</v>
      </c>
      <c r="Q33" s="77">
        <v>15424.9</v>
      </c>
      <c r="R33" s="77"/>
      <c r="S33" s="75">
        <f>SUM(P33:R33)</f>
        <v>15792.1</v>
      </c>
      <c r="T33" s="75"/>
      <c r="U33" s="14">
        <f>S33+T33</f>
        <v>15792.1</v>
      </c>
      <c r="V33" s="83">
        <v>150</v>
      </c>
      <c r="W33" s="77">
        <v>34720</v>
      </c>
      <c r="X33" s="77"/>
      <c r="Y33" s="75">
        <f>SUM(V33:X33)</f>
        <v>34870</v>
      </c>
      <c r="Z33" s="75"/>
      <c r="AA33" s="14">
        <f>Y33+Z33</f>
        <v>34870</v>
      </c>
      <c r="AB33" s="620">
        <f>IFERROR(AA33/O33,0)</f>
        <v>1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>
        <v>0</v>
      </c>
      <c r="E34" s="77">
        <v>1124.0999999999999</v>
      </c>
      <c r="F34" s="77"/>
      <c r="G34" s="75">
        <f>SUM(D34:F34)</f>
        <v>1124.0999999999999</v>
      </c>
      <c r="H34" s="75"/>
      <c r="I34" s="14">
        <f>G34+H34</f>
        <v>1124.0999999999999</v>
      </c>
      <c r="J34" s="656"/>
      <c r="K34" s="655">
        <v>200</v>
      </c>
      <c r="L34" s="655"/>
      <c r="M34" s="654">
        <f>SUM(J34:L34)</f>
        <v>200</v>
      </c>
      <c r="N34" s="654"/>
      <c r="O34" s="621">
        <f>M34+N34</f>
        <v>200</v>
      </c>
      <c r="P34" s="83"/>
      <c r="Q34" s="77">
        <v>473.5</v>
      </c>
      <c r="R34" s="77"/>
      <c r="S34" s="75">
        <f>SUM(P34:R34)</f>
        <v>473.5</v>
      </c>
      <c r="T34" s="75"/>
      <c r="U34" s="14">
        <f>S34+T34</f>
        <v>473.5</v>
      </c>
      <c r="V34" s="83"/>
      <c r="W34" s="77">
        <v>200</v>
      </c>
      <c r="X34" s="77"/>
      <c r="Y34" s="75">
        <f>SUM(V34:X34)</f>
        <v>200</v>
      </c>
      <c r="Z34" s="75"/>
      <c r="AA34" s="14">
        <f>Y34+Z34</f>
        <v>200</v>
      </c>
      <c r="AB34" s="620">
        <f>IFERROR(AA34/O34,0)</f>
        <v>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246.6</v>
      </c>
      <c r="E35" s="77">
        <v>10416.200000000001</v>
      </c>
      <c r="F35" s="77"/>
      <c r="G35" s="75">
        <f>SUM(D35:F35)</f>
        <v>10662.800000000001</v>
      </c>
      <c r="H35" s="75"/>
      <c r="I35" s="14">
        <f>G35+H35</f>
        <v>10662.800000000001</v>
      </c>
      <c r="J35" s="656">
        <v>46</v>
      </c>
      <c r="K35" s="655">
        <v>11600</v>
      </c>
      <c r="L35" s="655"/>
      <c r="M35" s="654">
        <f>SUM(J35:L35)</f>
        <v>11646</v>
      </c>
      <c r="N35" s="654"/>
      <c r="O35" s="621">
        <f>M35+N35</f>
        <v>11646</v>
      </c>
      <c r="P35" s="83">
        <v>235.3</v>
      </c>
      <c r="Q35" s="77">
        <v>5124.8999999999996</v>
      </c>
      <c r="R35" s="77"/>
      <c r="S35" s="75">
        <f>SUM(P35:R35)</f>
        <v>5360.2</v>
      </c>
      <c r="T35" s="75"/>
      <c r="U35" s="14">
        <f>S35+T35</f>
        <v>5360.2</v>
      </c>
      <c r="V35" s="83">
        <v>46</v>
      </c>
      <c r="W35" s="77">
        <v>11600</v>
      </c>
      <c r="X35" s="77"/>
      <c r="Y35" s="75">
        <f>SUM(V35:X35)</f>
        <v>11646</v>
      </c>
      <c r="Z35" s="75"/>
      <c r="AA35" s="14">
        <f>Y35+Z35</f>
        <v>11646</v>
      </c>
      <c r="AB35" s="620">
        <f>IFERROR(AA35/O35,0)</f>
        <v>1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>SUM(D36:F36)</f>
        <v>0</v>
      </c>
      <c r="H36" s="75"/>
      <c r="I36" s="14">
        <f>G36+H36</f>
        <v>0</v>
      </c>
      <c r="J36" s="656"/>
      <c r="K36" s="655"/>
      <c r="L36" s="655"/>
      <c r="M36" s="654">
        <f>SUM(J36:L36)</f>
        <v>0</v>
      </c>
      <c r="N36" s="654"/>
      <c r="O36" s="621">
        <f>M36+N36</f>
        <v>0</v>
      </c>
      <c r="P36" s="82"/>
      <c r="Q36" s="77"/>
      <c r="R36" s="77"/>
      <c r="S36" s="75">
        <f>SUM(P36:R36)</f>
        <v>0</v>
      </c>
      <c r="T36" s="75"/>
      <c r="U36" s="14">
        <f>S36+T36</f>
        <v>0</v>
      </c>
      <c r="V36" s="82"/>
      <c r="W36" s="77"/>
      <c r="X36" s="77"/>
      <c r="Y36" s="75">
        <f>SUM(V36:X36)</f>
        <v>0</v>
      </c>
      <c r="Z36" s="75"/>
      <c r="AA36" s="14">
        <f>Y36+Z36</f>
        <v>0</v>
      </c>
      <c r="AB36" s="620">
        <f>IFERROR(AA36/O36,0)</f>
        <v>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1405.7</v>
      </c>
      <c r="E37" s="77"/>
      <c r="F37" s="77"/>
      <c r="G37" s="75">
        <f>SUM(D37:F37)</f>
        <v>1405.7</v>
      </c>
      <c r="H37" s="75" t="s">
        <v>87</v>
      </c>
      <c r="I37" s="14">
        <v>1405.7</v>
      </c>
      <c r="J37" s="656">
        <v>1797</v>
      </c>
      <c r="K37" s="655"/>
      <c r="L37" s="655"/>
      <c r="M37" s="654">
        <f>SUM(J37:L37)</f>
        <v>1797</v>
      </c>
      <c r="N37" s="654"/>
      <c r="O37" s="621">
        <f>M37+N37</f>
        <v>1797</v>
      </c>
      <c r="P37" s="82">
        <v>831.7</v>
      </c>
      <c r="Q37" s="77"/>
      <c r="R37" s="77"/>
      <c r="S37" s="75">
        <f>SUM(P37:R37)</f>
        <v>831.7</v>
      </c>
      <c r="T37" s="75"/>
      <c r="U37" s="14">
        <f>S37+T37</f>
        <v>831.7</v>
      </c>
      <c r="V37" s="82">
        <v>1797</v>
      </c>
      <c r="W37" s="77"/>
      <c r="X37" s="77"/>
      <c r="Y37" s="75">
        <f>SUM(V37:X37)</f>
        <v>1797</v>
      </c>
      <c r="Z37" s="75"/>
      <c r="AA37" s="14">
        <f>Y37+Z37</f>
        <v>1797</v>
      </c>
      <c r="AB37" s="620">
        <f>IFERROR(AA37/O37,0)</f>
        <v>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173.9</v>
      </c>
      <c r="E38" s="311">
        <v>696.2</v>
      </c>
      <c r="F38" s="78">
        <v>637.20000000000005</v>
      </c>
      <c r="G38" s="75">
        <f>SUM(D38:F38)</f>
        <v>1507.3000000000002</v>
      </c>
      <c r="H38" s="79"/>
      <c r="I38" s="23"/>
      <c r="J38" s="653">
        <v>142</v>
      </c>
      <c r="K38" s="652">
        <v>1380</v>
      </c>
      <c r="L38" s="652">
        <v>200</v>
      </c>
      <c r="M38" s="651">
        <f>SUM(J38:L38)</f>
        <v>1722</v>
      </c>
      <c r="N38" s="651"/>
      <c r="O38" s="619">
        <f>M38+N38</f>
        <v>1722</v>
      </c>
      <c r="P38" s="84">
        <v>250</v>
      </c>
      <c r="Q38" s="78">
        <v>376.1</v>
      </c>
      <c r="R38" s="78">
        <v>70</v>
      </c>
      <c r="S38" s="79">
        <f>SUM(P38:R38)</f>
        <v>696.1</v>
      </c>
      <c r="T38" s="79"/>
      <c r="U38" s="23">
        <f>S38+T38</f>
        <v>696.1</v>
      </c>
      <c r="V38" s="84">
        <v>225.5</v>
      </c>
      <c r="W38" s="78">
        <v>1380</v>
      </c>
      <c r="X38" s="78">
        <v>200</v>
      </c>
      <c r="Y38" s="79">
        <f>SUM(V38:X38)</f>
        <v>1805.5</v>
      </c>
      <c r="Z38" s="79"/>
      <c r="AA38" s="23">
        <f>Y38+Z38</f>
        <v>1805.5</v>
      </c>
      <c r="AB38" s="618">
        <f>IFERROR(AA38/O38,0)</f>
        <v>1.0484901277584204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7375.5</v>
      </c>
      <c r="E39" s="42">
        <f>SUM(E35:E38)+SUM(E28:E32)</f>
        <v>43564.5</v>
      </c>
      <c r="F39" s="42">
        <f>SUM(F35:F38)+SUM(F28:F32)</f>
        <v>3094</v>
      </c>
      <c r="G39" s="144">
        <f>SUM(D39:F39)</f>
        <v>54034</v>
      </c>
      <c r="H39" s="43">
        <f>SUM(H28:H32)+SUM(H35:H38)</f>
        <v>163.5</v>
      </c>
      <c r="I39" s="44">
        <f>SUM(I35:I38)+SUM(I28:I32)</f>
        <v>52690.2</v>
      </c>
      <c r="J39" s="650">
        <f>SUM(J35:J38)+SUM(J28:J32)</f>
        <v>7119.7</v>
      </c>
      <c r="K39" s="650">
        <f>SUM(K35:K38)+SUM(K28:K32)</f>
        <v>48100</v>
      </c>
      <c r="L39" s="650">
        <f>SUM(L35:L38)+SUM(L28:L32)</f>
        <v>2700</v>
      </c>
      <c r="M39" s="649">
        <f>SUM(J39:L39)</f>
        <v>57919.7</v>
      </c>
      <c r="N39" s="648">
        <f>SUM(N28:N32)+SUM(N35:N38)</f>
        <v>400</v>
      </c>
      <c r="O39" s="617">
        <f>SUM(O35:O38)+SUM(O28:O32)</f>
        <v>58319.7</v>
      </c>
      <c r="P39" s="42">
        <f>SUM(P35:P38)+SUM(P28:P32)</f>
        <v>4275.7999999999993</v>
      </c>
      <c r="Q39" s="42">
        <f>SUM(Q35:Q38)+SUM(Q28:Q32)</f>
        <v>21679.4</v>
      </c>
      <c r="R39" s="42">
        <f>SUM(R35:R38)+SUM(R28:R32)</f>
        <v>1604.1999999999998</v>
      </c>
      <c r="S39" s="144">
        <f>SUM(P39:R39)</f>
        <v>27559.4</v>
      </c>
      <c r="T39" s="43">
        <f>SUM(T28:T32)+SUM(T35:T38)</f>
        <v>36.299999999999997</v>
      </c>
      <c r="U39" s="44">
        <f>SUM(U35:U38)+SUM(U28:U32)</f>
        <v>27595.7</v>
      </c>
      <c r="V39" s="42">
        <f>SUM(V35:V38)+SUM(V28:V32)</f>
        <v>7418.7</v>
      </c>
      <c r="W39" s="42">
        <f>SUM(W35:W38)+SUM(W28:W32)</f>
        <v>48100</v>
      </c>
      <c r="X39" s="42">
        <f>SUM(X35:X38)+SUM(X28:X32)</f>
        <v>2700</v>
      </c>
      <c r="Y39" s="144">
        <f>SUM(V39:X39)</f>
        <v>58218.7</v>
      </c>
      <c r="Z39" s="43">
        <f>SUM(Z28:Z32)+SUM(Z35:Z38)</f>
        <v>400</v>
      </c>
      <c r="AA39" s="44">
        <f>SUM(AA35:AA38)+SUM(AA28:AA32)</f>
        <v>58618.7</v>
      </c>
      <c r="AB39" s="616">
        <f>IFERROR(AA39/O39,0)</f>
        <v>1.0051269125184115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14.399999999999636</v>
      </c>
      <c r="E40" s="109">
        <f>E24-E39</f>
        <v>0</v>
      </c>
      <c r="F40" s="109">
        <f>F24-F39</f>
        <v>0</v>
      </c>
      <c r="G40" s="118">
        <f>G24-G39</f>
        <v>14.400000000001455</v>
      </c>
      <c r="H40" s="118">
        <f>H24-H39</f>
        <v>302.7</v>
      </c>
      <c r="I40" s="119">
        <f>I24-I39</f>
        <v>1824.4000000000015</v>
      </c>
      <c r="J40" s="109">
        <f>J24-J39</f>
        <v>-331.09999999999945</v>
      </c>
      <c r="K40" s="109">
        <f>K24-K39</f>
        <v>0</v>
      </c>
      <c r="L40" s="109">
        <f>L24-L39</f>
        <v>0</v>
      </c>
      <c r="M40" s="615">
        <f>M24-M39</f>
        <v>-331.09999999999854</v>
      </c>
      <c r="N40" s="615">
        <f>N24-N39</f>
        <v>0</v>
      </c>
      <c r="O40" s="614">
        <f>O24-O39</f>
        <v>-331.09999999999127</v>
      </c>
      <c r="P40" s="109">
        <f>P24-P39</f>
        <v>273.10000000000036</v>
      </c>
      <c r="Q40" s="109">
        <f>Q24-Q39</f>
        <v>-646.20000000000437</v>
      </c>
      <c r="R40" s="109">
        <f>R24-R39</f>
        <v>106</v>
      </c>
      <c r="S40" s="118">
        <f>S24-S39</f>
        <v>-267.10000000000218</v>
      </c>
      <c r="T40" s="118">
        <f>T24-T39</f>
        <v>260.3</v>
      </c>
      <c r="U40" s="119">
        <f>U24-U39</f>
        <v>-6.8000000000029104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-3377.1999999999989</v>
      </c>
      <c r="J41" s="112"/>
      <c r="K41" s="113"/>
      <c r="L41" s="113"/>
      <c r="M41" s="114"/>
      <c r="N41" s="117"/>
      <c r="O41" s="116">
        <f>O40-J16</f>
        <v>-5701.1999999999916</v>
      </c>
      <c r="P41" s="112"/>
      <c r="Q41" s="113"/>
      <c r="R41" s="113"/>
      <c r="S41" s="114"/>
      <c r="T41" s="117"/>
      <c r="U41" s="116">
        <f>U40-P16</f>
        <v>-2727.1000000000031</v>
      </c>
      <c r="V41" s="112"/>
      <c r="W41" s="113"/>
      <c r="X41" s="113"/>
      <c r="Y41" s="114"/>
      <c r="Z41" s="117"/>
      <c r="AA41" s="116">
        <f>AA40-V16</f>
        <v>-5900</v>
      </c>
      <c r="AB41" s="612">
        <f>IFERROR(AA41/O41,0)</f>
        <v>1.0348698519609922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321.89999999999998</v>
      </c>
      <c r="E44" s="104">
        <v>321.89999999999998</v>
      </c>
      <c r="F44" s="105">
        <v>0</v>
      </c>
      <c r="G44" s="49"/>
      <c r="H44" s="49"/>
      <c r="I44" s="50"/>
      <c r="J44" s="94">
        <v>392.1</v>
      </c>
      <c r="K44" s="104">
        <v>392.1</v>
      </c>
      <c r="L44" s="105">
        <v>0</v>
      </c>
      <c r="M44" s="93"/>
      <c r="N44" s="93"/>
      <c r="O44" s="93"/>
      <c r="P44" s="94">
        <v>196</v>
      </c>
      <c r="Q44" s="104">
        <v>196</v>
      </c>
      <c r="R44" s="105">
        <v>0</v>
      </c>
      <c r="S44" s="4"/>
      <c r="T44" s="4"/>
      <c r="U44" s="4"/>
      <c r="V44" s="94">
        <v>392.1</v>
      </c>
      <c r="W44" s="104">
        <v>392.1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v>2876</v>
      </c>
      <c r="E50" s="85">
        <v>2729.9</v>
      </c>
      <c r="F50" s="85">
        <v>1964.5</v>
      </c>
      <c r="G50" s="52">
        <f>D50+E50-F50</f>
        <v>3641.3999999999996</v>
      </c>
      <c r="H50" s="49"/>
      <c r="I50" s="4"/>
      <c r="J50" s="52">
        <f>G50+H50-I50</f>
        <v>3641.3999999999996</v>
      </c>
      <c r="K50" s="85">
        <v>2711.1</v>
      </c>
      <c r="L50" s="85">
        <v>3308</v>
      </c>
      <c r="M50" s="52">
        <f>J50+K50-L50</f>
        <v>3044.5</v>
      </c>
      <c r="N50" s="4"/>
      <c r="O50" s="4"/>
      <c r="P50" s="52">
        <v>3641.4</v>
      </c>
      <c r="Q50" s="85">
        <v>-245.7</v>
      </c>
      <c r="R50" s="85">
        <v>425.6</v>
      </c>
      <c r="S50" s="52">
        <f>P50+Q50-R50</f>
        <v>2970.1000000000004</v>
      </c>
      <c r="T50" s="4"/>
      <c r="U50" s="4"/>
      <c r="V50" s="85">
        <v>3090</v>
      </c>
      <c r="W50" s="85">
        <v>1022</v>
      </c>
      <c r="X50" s="85">
        <v>1150</v>
      </c>
      <c r="Y50" s="52">
        <f>V50+W50-X50</f>
        <v>2962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467.3</v>
      </c>
      <c r="E51" s="85">
        <v>1552.2</v>
      </c>
      <c r="F51" s="85">
        <v>66.8</v>
      </c>
      <c r="G51" s="52">
        <f>D51+E51-F51</f>
        <v>1952.7</v>
      </c>
      <c r="H51" s="49"/>
      <c r="I51" s="4"/>
      <c r="J51" s="52">
        <f>G51+H51-I51</f>
        <v>1952.7</v>
      </c>
      <c r="K51" s="85">
        <v>1453.7</v>
      </c>
      <c r="L51" s="85">
        <v>1600</v>
      </c>
      <c r="M51" s="52">
        <f>J51+K51-L51</f>
        <v>1806.4</v>
      </c>
      <c r="N51" s="4"/>
      <c r="O51" s="4"/>
      <c r="P51" s="52">
        <v>1952.7</v>
      </c>
      <c r="Q51" s="85">
        <v>-849.5</v>
      </c>
      <c r="R51" s="85">
        <v>88.6</v>
      </c>
      <c r="S51" s="52">
        <f>P51+Q51-R51</f>
        <v>1014.6</v>
      </c>
      <c r="T51" s="4"/>
      <c r="U51" s="4"/>
      <c r="V51" s="52">
        <v>1810</v>
      </c>
      <c r="W51" s="85">
        <v>300</v>
      </c>
      <c r="X51" s="85">
        <v>250</v>
      </c>
      <c r="Y51" s="52">
        <f>V51+W51-X51</f>
        <v>1860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1557.8</v>
      </c>
      <c r="E52" s="85">
        <v>505.3</v>
      </c>
      <c r="F52" s="85">
        <v>932.1</v>
      </c>
      <c r="G52" s="52">
        <f>D52+E52-F52</f>
        <v>1131</v>
      </c>
      <c r="H52" s="49"/>
      <c r="I52" s="4"/>
      <c r="J52" s="52">
        <f>G52+H52-I52</f>
        <v>1131</v>
      </c>
      <c r="K52" s="85">
        <v>894</v>
      </c>
      <c r="L52" s="85">
        <v>1083</v>
      </c>
      <c r="M52" s="52">
        <f>J52+K52-L52</f>
        <v>942</v>
      </c>
      <c r="N52" s="4"/>
      <c r="O52" s="4"/>
      <c r="P52" s="52">
        <v>1131</v>
      </c>
      <c r="Q52" s="85">
        <v>379.6</v>
      </c>
      <c r="R52" s="85">
        <v>196</v>
      </c>
      <c r="S52" s="52">
        <f>P52+Q52-R52</f>
        <v>1314.6</v>
      </c>
      <c r="T52" s="4"/>
      <c r="U52" s="4"/>
      <c r="V52" s="52">
        <v>950</v>
      </c>
      <c r="W52" s="85">
        <v>392</v>
      </c>
      <c r="X52" s="85">
        <v>500</v>
      </c>
      <c r="Y52" s="52">
        <f>V52+W52-X52</f>
        <v>842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299.5</v>
      </c>
      <c r="E53" s="85">
        <v>35.9</v>
      </c>
      <c r="F53" s="85">
        <v>32.4</v>
      </c>
      <c r="G53" s="52">
        <f>D53+E53-F53</f>
        <v>303</v>
      </c>
      <c r="H53" s="49"/>
      <c r="I53" s="4"/>
      <c r="J53" s="52">
        <f>G53+H53-I53</f>
        <v>303</v>
      </c>
      <c r="K53" s="85">
        <v>63.4</v>
      </c>
      <c r="L53" s="85">
        <v>100</v>
      </c>
      <c r="M53" s="52">
        <f>J53+K53-L53</f>
        <v>266.39999999999998</v>
      </c>
      <c r="N53" s="4"/>
      <c r="O53" s="4"/>
      <c r="P53" s="52">
        <v>303</v>
      </c>
      <c r="Q53" s="85">
        <v>63.5</v>
      </c>
      <c r="R53" s="85">
        <v>0</v>
      </c>
      <c r="S53" s="52">
        <f>P53+Q53-R53</f>
        <v>366.5</v>
      </c>
      <c r="T53" s="4"/>
      <c r="U53" s="4"/>
      <c r="V53" s="52">
        <v>300</v>
      </c>
      <c r="W53" s="85">
        <v>30</v>
      </c>
      <c r="X53" s="85">
        <v>100</v>
      </c>
      <c r="Y53" s="52">
        <f>V53+W53-X53</f>
        <v>230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551.4</v>
      </c>
      <c r="E54" s="85">
        <v>636.5</v>
      </c>
      <c r="F54" s="85">
        <v>933.2</v>
      </c>
      <c r="G54" s="52">
        <f>D54+E54-F54</f>
        <v>254.70000000000005</v>
      </c>
      <c r="H54" s="49"/>
      <c r="I54" s="4"/>
      <c r="J54" s="52">
        <f>G54+H54-I54</f>
        <v>254.70000000000005</v>
      </c>
      <c r="K54" s="85">
        <v>300</v>
      </c>
      <c r="L54" s="85">
        <v>525</v>
      </c>
      <c r="M54" s="52">
        <f>J54+K54-L54</f>
        <v>29.700000000000045</v>
      </c>
      <c r="N54" s="4"/>
      <c r="O54" s="4"/>
      <c r="P54" s="52">
        <v>254.7</v>
      </c>
      <c r="Q54" s="85">
        <v>160.80000000000001</v>
      </c>
      <c r="R54" s="85">
        <v>141</v>
      </c>
      <c r="S54" s="52">
        <f>P54+Q54-R54</f>
        <v>274.5</v>
      </c>
      <c r="T54" s="4"/>
      <c r="U54" s="4"/>
      <c r="V54" s="52">
        <v>30</v>
      </c>
      <c r="W54" s="85">
        <v>300</v>
      </c>
      <c r="X54" s="85">
        <v>300</v>
      </c>
      <c r="Y54" s="52">
        <f>V54+W54-X54</f>
        <v>30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60</v>
      </c>
      <c r="E57" s="86">
        <v>58.7</v>
      </c>
      <c r="F57" s="49"/>
      <c r="G57" s="49"/>
      <c r="H57" s="49"/>
      <c r="I57" s="50"/>
      <c r="J57" s="86">
        <v>58</v>
      </c>
      <c r="K57" s="49"/>
      <c r="L57" s="49"/>
      <c r="M57" s="49"/>
      <c r="N57" s="49"/>
      <c r="O57" s="50"/>
      <c r="P57" s="86">
        <v>56.5</v>
      </c>
      <c r="Q57" s="50"/>
      <c r="R57" s="50"/>
      <c r="S57" s="50"/>
      <c r="T57" s="50"/>
      <c r="U57" s="50"/>
      <c r="V57" s="86">
        <v>59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 t="s">
        <v>206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 t="s">
        <v>205</v>
      </c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4"/>
      <c r="W87" s="154"/>
      <c r="X87" s="154"/>
      <c r="Y87" s="154"/>
      <c r="Z87" s="154"/>
      <c r="AA87" s="154"/>
      <c r="AB87" s="155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45575</v>
      </c>
      <c r="D91" s="53" t="s">
        <v>76</v>
      </c>
      <c r="E91" s="216" t="s">
        <v>204</v>
      </c>
      <c r="F91" s="216"/>
      <c r="G91" s="216"/>
      <c r="H91" s="53"/>
      <c r="I91" s="53" t="s">
        <v>77</v>
      </c>
      <c r="J91" s="223" t="s">
        <v>203</v>
      </c>
      <c r="K91" s="223"/>
      <c r="L91" s="223"/>
      <c r="M91" s="22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41" priority="5" operator="equal">
      <formula>0</formula>
    </cfRule>
    <cfRule type="containsErrors" dxfId="40" priority="6">
      <formula>ISERROR(AB15)</formula>
    </cfRule>
  </conditionalFormatting>
  <conditionalFormatting sqref="AB28:AB40">
    <cfRule type="cellIs" dxfId="39" priority="3" operator="equal">
      <formula>0</formula>
    </cfRule>
    <cfRule type="containsErrors" dxfId="38" priority="4">
      <formula>ISERROR(AB28)</formula>
    </cfRule>
  </conditionalFormatting>
  <conditionalFormatting sqref="AB41">
    <cfRule type="cellIs" dxfId="37" priority="1" operator="equal">
      <formula>0</formula>
    </cfRule>
    <cfRule type="containsErrors" dxfId="36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3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F128"/>
  <sheetViews>
    <sheetView showGridLines="0" zoomScale="62" zoomScaleNormal="62" zoomScaleSheetLayoutView="76" workbookViewId="0">
      <selection activeCell="M46" sqref="M4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.42578125" customWidth="1"/>
    <col min="9" max="9" width="1.28515625" customWidth="1"/>
    <col min="10" max="10" width="14.140625" customWidth="1"/>
    <col min="11" max="11" width="11.28515625" customWidth="1"/>
    <col min="12" max="12" width="16.140625" customWidth="1"/>
    <col min="13" max="13" width="17.85546875" customWidth="1"/>
    <col min="14" max="14" width="13.7109375" customWidth="1"/>
    <col min="15" max="15" width="23.42578125" style="224" customWidth="1"/>
    <col min="16" max="16" width="13.28515625" customWidth="1"/>
    <col min="17" max="17" width="11.28515625" customWidth="1"/>
    <col min="18" max="20" width="16.42578125" customWidth="1"/>
    <col min="21" max="21" width="21.140625" customWidth="1"/>
    <col min="22" max="22" width="12.42578125" customWidth="1"/>
    <col min="23" max="23" width="10.7109375" customWidth="1"/>
    <col min="24" max="24" width="16.140625" bestFit="1" customWidth="1"/>
    <col min="25" max="25" width="14.140625" bestFit="1" customWidth="1"/>
    <col min="26" max="26" width="13.140625" bestFit="1" customWidth="1"/>
    <col min="27" max="27" width="21.85546875" customWidth="1"/>
    <col min="28" max="28" width="12.5703125" customWidth="1"/>
    <col min="29" max="29" width="10.7109375" bestFit="1" customWidth="1"/>
    <col min="30" max="30" width="17.7109375" customWidth="1"/>
    <col min="31" max="31" width="5.85546875" customWidth="1"/>
    <col min="32" max="32" width="0" hidden="1" customWidth="1"/>
    <col min="33" max="16384" width="9.140625" hidden="1"/>
  </cols>
  <sheetData>
    <row r="1" spans="1:3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6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6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10.9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6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17.45" customHeight="1" x14ac:dyDescent="0.35">
      <c r="A4" s="4"/>
      <c r="B4" s="4" t="s">
        <v>43</v>
      </c>
      <c r="C4" s="4"/>
      <c r="D4" s="466" t="s">
        <v>233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"/>
      <c r="Y4" s="4"/>
      <c r="Z4" s="4"/>
      <c r="AA4" s="4"/>
      <c r="AB4" s="4"/>
      <c r="AC4" s="4"/>
      <c r="AD4" s="4"/>
      <c r="AE4" s="4"/>
    </row>
    <row r="5" spans="1:32" ht="17.4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6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ht="14.45" customHeight="1" x14ac:dyDescent="0.25">
      <c r="A6" s="4"/>
      <c r="B6" s="4" t="s">
        <v>44</v>
      </c>
      <c r="C6" s="4"/>
      <c r="D6" s="241">
        <v>46789766</v>
      </c>
      <c r="E6" s="4"/>
      <c r="F6" s="4"/>
      <c r="G6" s="4"/>
      <c r="H6" s="4"/>
      <c r="I6" s="4"/>
      <c r="J6" s="4"/>
      <c r="K6" s="4"/>
      <c r="L6" s="4"/>
      <c r="M6" s="4"/>
      <c r="N6" s="4"/>
      <c r="O6" s="46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8.4499999999999993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"/>
      <c r="N7" s="4"/>
      <c r="O7" s="46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17.45" customHeight="1" x14ac:dyDescent="0.25">
      <c r="A8" s="4"/>
      <c r="B8" s="4" t="s">
        <v>45</v>
      </c>
      <c r="C8" s="4"/>
      <c r="D8" s="247" t="s">
        <v>232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4"/>
      <c r="Y8" s="4"/>
      <c r="Z8" s="4"/>
      <c r="AA8" s="4"/>
      <c r="AB8" s="4"/>
      <c r="AC8" s="4"/>
      <c r="AD8" s="4"/>
      <c r="AE8" s="4"/>
    </row>
    <row r="9" spans="1:32" ht="8.4499999999999993" customHeight="1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6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2" ht="29.25" customHeight="1" thickBot="1" x14ac:dyDescent="0.3">
      <c r="A10" s="4"/>
      <c r="B10" s="905" t="s">
        <v>37</v>
      </c>
      <c r="C10" s="831" t="s">
        <v>38</v>
      </c>
      <c r="D10" s="901" t="s">
        <v>107</v>
      </c>
      <c r="E10" s="900"/>
      <c r="F10" s="900"/>
      <c r="G10" s="900"/>
      <c r="H10" s="900"/>
      <c r="I10" s="900"/>
      <c r="J10" s="900"/>
      <c r="K10" s="899"/>
      <c r="L10" s="904" t="s">
        <v>231</v>
      </c>
      <c r="M10" s="903"/>
      <c r="N10" s="903"/>
      <c r="O10" s="903"/>
      <c r="P10" s="903"/>
      <c r="Q10" s="902"/>
      <c r="R10" s="901" t="s">
        <v>109</v>
      </c>
      <c r="S10" s="900"/>
      <c r="T10" s="900"/>
      <c r="U10" s="900"/>
      <c r="V10" s="900"/>
      <c r="W10" s="899"/>
      <c r="X10" s="898" t="s">
        <v>230</v>
      </c>
      <c r="Y10" s="897"/>
      <c r="Z10" s="897"/>
      <c r="AA10" s="897"/>
      <c r="AB10" s="897"/>
      <c r="AC10" s="896"/>
      <c r="AD10" s="833" t="s">
        <v>176</v>
      </c>
      <c r="AE10" s="4"/>
      <c r="AF10" s="4"/>
    </row>
    <row r="11" spans="1:32" ht="30.75" customHeight="1" thickBot="1" x14ac:dyDescent="0.3">
      <c r="A11" s="4"/>
      <c r="B11" s="890"/>
      <c r="C11" s="821"/>
      <c r="D11" s="894" t="s">
        <v>39</v>
      </c>
      <c r="E11" s="893"/>
      <c r="F11" s="893"/>
      <c r="G11" s="892"/>
      <c r="H11" s="895"/>
      <c r="I11" s="895"/>
      <c r="J11" s="891" t="s">
        <v>40</v>
      </c>
      <c r="K11" s="891" t="s">
        <v>61</v>
      </c>
      <c r="L11" s="894" t="s">
        <v>39</v>
      </c>
      <c r="M11" s="893"/>
      <c r="N11" s="893"/>
      <c r="O11" s="892"/>
      <c r="P11" s="891" t="s">
        <v>40</v>
      </c>
      <c r="Q11" s="891" t="s">
        <v>61</v>
      </c>
      <c r="R11" s="894" t="s">
        <v>39</v>
      </c>
      <c r="S11" s="893"/>
      <c r="T11" s="893"/>
      <c r="U11" s="892"/>
      <c r="V11" s="891" t="s">
        <v>40</v>
      </c>
      <c r="W11" s="891" t="s">
        <v>61</v>
      </c>
      <c r="X11" s="894" t="s">
        <v>39</v>
      </c>
      <c r="Y11" s="893"/>
      <c r="Z11" s="893"/>
      <c r="AA11" s="892"/>
      <c r="AB11" s="891" t="s">
        <v>40</v>
      </c>
      <c r="AC11" s="891" t="s">
        <v>61</v>
      </c>
      <c r="AD11" s="823"/>
      <c r="AE11" s="4"/>
      <c r="AF11" s="4"/>
    </row>
    <row r="12" spans="1:32" ht="15.75" customHeight="1" thickBot="1" x14ac:dyDescent="0.3">
      <c r="A12" s="4"/>
      <c r="B12" s="890"/>
      <c r="C12" s="889"/>
      <c r="D12" s="888" t="s">
        <v>62</v>
      </c>
      <c r="E12" s="887"/>
      <c r="F12" s="887"/>
      <c r="G12" s="887"/>
      <c r="H12" s="887"/>
      <c r="I12" s="887"/>
      <c r="J12" s="887"/>
      <c r="K12" s="886"/>
      <c r="L12" s="888" t="s">
        <v>62</v>
      </c>
      <c r="M12" s="887"/>
      <c r="N12" s="887"/>
      <c r="O12" s="887"/>
      <c r="P12" s="887"/>
      <c r="Q12" s="886"/>
      <c r="R12" s="888" t="s">
        <v>62</v>
      </c>
      <c r="S12" s="887"/>
      <c r="T12" s="887"/>
      <c r="U12" s="887"/>
      <c r="V12" s="887"/>
      <c r="W12" s="886"/>
      <c r="X12" s="888" t="s">
        <v>62</v>
      </c>
      <c r="Y12" s="887"/>
      <c r="Z12" s="887"/>
      <c r="AA12" s="887"/>
      <c r="AB12" s="887"/>
      <c r="AC12" s="886"/>
      <c r="AD12" s="823"/>
      <c r="AE12" s="4"/>
      <c r="AF12" s="4"/>
    </row>
    <row r="13" spans="1:32" ht="15.75" customHeight="1" thickBot="1" x14ac:dyDescent="0.3">
      <c r="A13" s="4"/>
      <c r="B13" s="885"/>
      <c r="C13" s="884"/>
      <c r="D13" s="881" t="s">
        <v>57</v>
      </c>
      <c r="E13" s="880"/>
      <c r="F13" s="880"/>
      <c r="G13" s="830" t="s">
        <v>63</v>
      </c>
      <c r="H13" s="883"/>
      <c r="I13" s="882"/>
      <c r="J13" s="879" t="s">
        <v>66</v>
      </c>
      <c r="K13" s="878" t="s">
        <v>62</v>
      </c>
      <c r="L13" s="881" t="s">
        <v>57</v>
      </c>
      <c r="M13" s="880"/>
      <c r="N13" s="880"/>
      <c r="O13" s="826" t="s">
        <v>63</v>
      </c>
      <c r="P13" s="879" t="s">
        <v>66</v>
      </c>
      <c r="Q13" s="878" t="s">
        <v>62</v>
      </c>
      <c r="R13" s="881" t="s">
        <v>57</v>
      </c>
      <c r="S13" s="880"/>
      <c r="T13" s="880"/>
      <c r="U13" s="826" t="s">
        <v>63</v>
      </c>
      <c r="V13" s="879" t="s">
        <v>66</v>
      </c>
      <c r="W13" s="878" t="s">
        <v>62</v>
      </c>
      <c r="X13" s="881" t="s">
        <v>57</v>
      </c>
      <c r="Y13" s="880"/>
      <c r="Z13" s="880"/>
      <c r="AA13" s="826" t="s">
        <v>63</v>
      </c>
      <c r="AB13" s="879" t="s">
        <v>66</v>
      </c>
      <c r="AC13" s="878" t="s">
        <v>62</v>
      </c>
      <c r="AD13" s="823"/>
      <c r="AE13" s="4"/>
      <c r="AF13" s="4"/>
    </row>
    <row r="14" spans="1:32" ht="15.75" thickBot="1" x14ac:dyDescent="0.3">
      <c r="A14" s="4"/>
      <c r="B14" s="877"/>
      <c r="C14" s="876"/>
      <c r="D14" s="875" t="s">
        <v>58</v>
      </c>
      <c r="E14" s="874" t="s">
        <v>90</v>
      </c>
      <c r="F14" s="874" t="s">
        <v>59</v>
      </c>
      <c r="G14" s="820"/>
      <c r="H14" s="819"/>
      <c r="I14" s="818"/>
      <c r="J14" s="873"/>
      <c r="K14" s="872"/>
      <c r="L14" s="875" t="s">
        <v>58</v>
      </c>
      <c r="M14" s="874" t="s">
        <v>90</v>
      </c>
      <c r="N14" s="874" t="s">
        <v>59</v>
      </c>
      <c r="O14" s="814"/>
      <c r="P14" s="873"/>
      <c r="Q14" s="872"/>
      <c r="R14" s="875" t="s">
        <v>58</v>
      </c>
      <c r="S14" s="874" t="s">
        <v>90</v>
      </c>
      <c r="T14" s="874" t="s">
        <v>59</v>
      </c>
      <c r="U14" s="814"/>
      <c r="V14" s="873"/>
      <c r="W14" s="872"/>
      <c r="X14" s="875" t="s">
        <v>58</v>
      </c>
      <c r="Y14" s="874" t="s">
        <v>90</v>
      </c>
      <c r="Z14" s="874" t="s">
        <v>59</v>
      </c>
      <c r="AA14" s="814"/>
      <c r="AB14" s="873"/>
      <c r="AC14" s="872"/>
      <c r="AD14" s="811"/>
      <c r="AE14" s="4"/>
      <c r="AF14" s="4"/>
    </row>
    <row r="15" spans="1:32" x14ac:dyDescent="0.25">
      <c r="A15" s="4"/>
      <c r="B15" s="810" t="s">
        <v>0</v>
      </c>
      <c r="C15" s="809" t="s">
        <v>52</v>
      </c>
      <c r="D15" s="871"/>
      <c r="E15" s="870"/>
      <c r="F15" s="869">
        <v>2358.181</v>
      </c>
      <c r="G15" s="864">
        <f>SUM(D15:F15)</f>
        <v>2358.181</v>
      </c>
      <c r="H15" s="860"/>
      <c r="I15" s="848"/>
      <c r="J15" s="858">
        <v>461.2</v>
      </c>
      <c r="K15" s="788">
        <f>G15+J15</f>
        <v>2819.3809999999999</v>
      </c>
      <c r="L15" s="871"/>
      <c r="M15" s="870"/>
      <c r="N15" s="869">
        <v>2150</v>
      </c>
      <c r="O15" s="864">
        <f>SUM(L15:N15)</f>
        <v>2150</v>
      </c>
      <c r="P15" s="858">
        <v>310</v>
      </c>
      <c r="Q15" s="788">
        <f>O15+P15</f>
        <v>2460</v>
      </c>
      <c r="R15" s="871"/>
      <c r="S15" s="870"/>
      <c r="T15" s="869">
        <v>1297.5</v>
      </c>
      <c r="U15" s="864">
        <f>SUM(R15:T15)</f>
        <v>1297.5</v>
      </c>
      <c r="V15" s="858">
        <v>300.7</v>
      </c>
      <c r="W15" s="788">
        <f>U15+V15</f>
        <v>1598.2</v>
      </c>
      <c r="X15" s="871"/>
      <c r="Y15" s="870"/>
      <c r="Z15" s="869">
        <v>2496</v>
      </c>
      <c r="AA15" s="864">
        <f>SUM(X15:Z15)</f>
        <v>2496</v>
      </c>
      <c r="AB15" s="858">
        <v>450</v>
      </c>
      <c r="AC15" s="788">
        <f>AA15+AB15</f>
        <v>2946</v>
      </c>
      <c r="AD15" s="280">
        <f>(AC15/Q15)</f>
        <v>1.1975609756097561</v>
      </c>
      <c r="AE15" s="4"/>
      <c r="AF15" s="4"/>
    </row>
    <row r="16" spans="1:32" x14ac:dyDescent="0.25">
      <c r="A16" s="4"/>
      <c r="B16" s="796" t="s">
        <v>1</v>
      </c>
      <c r="C16" s="868" t="s">
        <v>60</v>
      </c>
      <c r="D16" s="866">
        <v>5747.7</v>
      </c>
      <c r="E16" s="855"/>
      <c r="F16" s="855"/>
      <c r="G16" s="864">
        <f>SUM(D16:F16)</f>
        <v>5747.7</v>
      </c>
      <c r="H16" s="860"/>
      <c r="I16" s="848"/>
      <c r="J16" s="865">
        <v>0</v>
      </c>
      <c r="K16" s="788">
        <f>G16+J16</f>
        <v>5747.7</v>
      </c>
      <c r="L16" s="867">
        <v>6783.2</v>
      </c>
      <c r="M16" s="855"/>
      <c r="N16" s="855"/>
      <c r="O16" s="850">
        <f>SUM(L16:N16)</f>
        <v>6783.2</v>
      </c>
      <c r="P16" s="865"/>
      <c r="Q16" s="788">
        <f>O16+P16</f>
        <v>6783.2</v>
      </c>
      <c r="R16" s="866">
        <v>3050.2</v>
      </c>
      <c r="S16" s="855"/>
      <c r="T16" s="855"/>
      <c r="U16" s="850">
        <f>SUM(R16:T16)</f>
        <v>3050.2</v>
      </c>
      <c r="V16" s="865"/>
      <c r="W16" s="788">
        <f>U16+V16</f>
        <v>3050.2</v>
      </c>
      <c r="X16" s="862">
        <v>7000</v>
      </c>
      <c r="Y16" s="855"/>
      <c r="Z16" s="855"/>
      <c r="AA16" s="850">
        <f>SUM(X16:Z16)</f>
        <v>7000</v>
      </c>
      <c r="AB16" s="865"/>
      <c r="AC16" s="788">
        <f>AA16+AB16</f>
        <v>7000</v>
      </c>
      <c r="AD16" s="280">
        <f>(AC16/Q16)</f>
        <v>1.0319613161929473</v>
      </c>
      <c r="AE16" s="4"/>
      <c r="AF16" s="4"/>
    </row>
    <row r="17" spans="1:32" x14ac:dyDescent="0.25">
      <c r="A17" s="4"/>
      <c r="B17" s="796" t="s">
        <v>3</v>
      </c>
      <c r="C17" s="422" t="s">
        <v>78</v>
      </c>
      <c r="D17" s="863">
        <v>483.3</v>
      </c>
      <c r="E17" s="855"/>
      <c r="F17" s="855"/>
      <c r="G17" s="864">
        <f>SUM(D17:F17)</f>
        <v>483.3</v>
      </c>
      <c r="H17" s="860"/>
      <c r="I17" s="848"/>
      <c r="J17" s="861">
        <v>0</v>
      </c>
      <c r="K17" s="788">
        <f>G17+J17</f>
        <v>483.3</v>
      </c>
      <c r="L17" s="863">
        <v>1030.9000000000001</v>
      </c>
      <c r="M17" s="855"/>
      <c r="N17" s="855"/>
      <c r="O17" s="850">
        <f>SUM(L17:N17)</f>
        <v>1030.9000000000001</v>
      </c>
      <c r="P17" s="861"/>
      <c r="Q17" s="788">
        <f>O17+P17</f>
        <v>1030.9000000000001</v>
      </c>
      <c r="R17" s="863">
        <v>480.9</v>
      </c>
      <c r="S17" s="855"/>
      <c r="T17" s="855"/>
      <c r="U17" s="850">
        <f>SUM(R17:T17)</f>
        <v>480.9</v>
      </c>
      <c r="V17" s="861"/>
      <c r="W17" s="788">
        <f>U17+V17</f>
        <v>480.9</v>
      </c>
      <c r="X17" s="862">
        <f>480.9-84.2</f>
        <v>396.7</v>
      </c>
      <c r="Y17" s="855"/>
      <c r="Z17" s="855"/>
      <c r="AA17" s="850">
        <f>SUM(X17:Z17)</f>
        <v>396.7</v>
      </c>
      <c r="AB17" s="861"/>
      <c r="AC17" s="788">
        <f>AA17+AB17</f>
        <v>396.7</v>
      </c>
      <c r="AD17" s="280">
        <f>(AC17/Q17)</f>
        <v>0.38480938985352597</v>
      </c>
      <c r="AE17" s="4"/>
      <c r="AF17" s="4"/>
    </row>
    <row r="18" spans="1:32" x14ac:dyDescent="0.25">
      <c r="A18" s="4"/>
      <c r="B18" s="796" t="s">
        <v>5</v>
      </c>
      <c r="C18" s="418" t="s">
        <v>53</v>
      </c>
      <c r="D18" s="856"/>
      <c r="E18" s="854">
        <f>44951.7+2958.9</f>
        <v>47910.6</v>
      </c>
      <c r="F18" s="855"/>
      <c r="G18" s="850">
        <f>SUM(D18:F18)</f>
        <v>47910.6</v>
      </c>
      <c r="H18" s="860"/>
      <c r="I18" s="848"/>
      <c r="J18" s="858">
        <v>0</v>
      </c>
      <c r="K18" s="788">
        <f>G18+J18</f>
        <v>47910.6</v>
      </c>
      <c r="L18" s="856"/>
      <c r="M18" s="854">
        <v>48289.599999999999</v>
      </c>
      <c r="N18" s="855"/>
      <c r="O18" s="850">
        <f>SUM(L18:N18)</f>
        <v>48289.599999999999</v>
      </c>
      <c r="P18" s="858">
        <v>0</v>
      </c>
      <c r="Q18" s="788">
        <f>O18+P18</f>
        <v>48289.599999999999</v>
      </c>
      <c r="R18" s="856"/>
      <c r="S18" s="854">
        <v>26006.9</v>
      </c>
      <c r="T18" s="855"/>
      <c r="U18" s="850">
        <f>SUM(R18:T18)</f>
        <v>26006.9</v>
      </c>
      <c r="V18" s="858">
        <v>0</v>
      </c>
      <c r="W18" s="788">
        <f>U18+V18</f>
        <v>26006.9</v>
      </c>
      <c r="X18" s="856"/>
      <c r="Y18" s="854">
        <f>45070+3539.6+323</f>
        <v>48932.6</v>
      </c>
      <c r="Z18" s="855"/>
      <c r="AA18" s="850">
        <f>SUM(X18:Z18)</f>
        <v>48932.6</v>
      </c>
      <c r="AB18" s="858">
        <v>0</v>
      </c>
      <c r="AC18" s="788">
        <f>AA18+AB18</f>
        <v>48932.6</v>
      </c>
      <c r="AD18" s="280">
        <f>(AC18/Q18)</f>
        <v>1.0133154965044233</v>
      </c>
      <c r="AE18" s="4"/>
      <c r="AF18" s="4"/>
    </row>
    <row r="19" spans="1:32" x14ac:dyDescent="0.25">
      <c r="A19" s="4"/>
      <c r="B19" s="796" t="s">
        <v>7</v>
      </c>
      <c r="C19" s="330" t="s">
        <v>46</v>
      </c>
      <c r="D19" s="856"/>
      <c r="E19" s="855"/>
      <c r="F19" s="854">
        <v>993.99400000000003</v>
      </c>
      <c r="G19" s="850">
        <f>SUM(D19:F19)</f>
        <v>993.99400000000003</v>
      </c>
      <c r="H19" s="860"/>
      <c r="I19" s="848"/>
      <c r="J19" s="858">
        <v>0</v>
      </c>
      <c r="K19" s="788">
        <f>G19+J19</f>
        <v>993.99400000000003</v>
      </c>
      <c r="L19" s="856"/>
      <c r="M19" s="855"/>
      <c r="N19" s="854">
        <v>1030</v>
      </c>
      <c r="O19" s="850">
        <f>SUM(L19:N19)</f>
        <v>1030</v>
      </c>
      <c r="P19" s="858">
        <v>0</v>
      </c>
      <c r="Q19" s="788">
        <f>O19+P19</f>
        <v>1030</v>
      </c>
      <c r="R19" s="856"/>
      <c r="S19" s="855"/>
      <c r="T19" s="854">
        <v>500.5</v>
      </c>
      <c r="U19" s="850">
        <f>SUM(R19:T19)</f>
        <v>500.5</v>
      </c>
      <c r="V19" s="858">
        <v>0</v>
      </c>
      <c r="W19" s="788">
        <f>U19+V19</f>
        <v>500.5</v>
      </c>
      <c r="X19" s="856"/>
      <c r="Y19" s="855"/>
      <c r="Z19" s="854">
        <v>1030</v>
      </c>
      <c r="AA19" s="850">
        <f>SUM(X19:Z19)</f>
        <v>1030</v>
      </c>
      <c r="AB19" s="858">
        <v>0</v>
      </c>
      <c r="AC19" s="788">
        <f>AA19+AB19</f>
        <v>1030</v>
      </c>
      <c r="AD19" s="280">
        <f>(AC19/Q19)</f>
        <v>1</v>
      </c>
      <c r="AE19" s="4"/>
      <c r="AF19" s="4"/>
    </row>
    <row r="20" spans="1:32" x14ac:dyDescent="0.25">
      <c r="A20" s="4"/>
      <c r="B20" s="796" t="s">
        <v>9</v>
      </c>
      <c r="C20" s="330" t="s">
        <v>47</v>
      </c>
      <c r="D20" s="856"/>
      <c r="E20" s="855"/>
      <c r="F20" s="854">
        <v>407.67590999999999</v>
      </c>
      <c r="G20" s="850">
        <f>SUM(D20:F20)</f>
        <v>407.67590999999999</v>
      </c>
      <c r="H20" s="860"/>
      <c r="I20" s="848"/>
      <c r="J20" s="858">
        <v>0</v>
      </c>
      <c r="K20" s="788">
        <f>G20+J20</f>
        <v>407.67590999999999</v>
      </c>
      <c r="L20" s="856"/>
      <c r="M20" s="855">
        <v>550</v>
      </c>
      <c r="N20" s="854">
        <v>50</v>
      </c>
      <c r="O20" s="850">
        <f>SUM(L20:N20)</f>
        <v>600</v>
      </c>
      <c r="P20" s="858">
        <v>0</v>
      </c>
      <c r="Q20" s="788">
        <f>O20+P20</f>
        <v>600</v>
      </c>
      <c r="R20" s="856"/>
      <c r="S20" s="855"/>
      <c r="T20" s="854">
        <v>81</v>
      </c>
      <c r="U20" s="850">
        <f>SUM(R20:T20)</f>
        <v>81</v>
      </c>
      <c r="V20" s="858">
        <v>0</v>
      </c>
      <c r="W20" s="788">
        <f>U20+V20</f>
        <v>81</v>
      </c>
      <c r="X20" s="856"/>
      <c r="Y20" s="855">
        <v>445</v>
      </c>
      <c r="Z20" s="859">
        <v>75</v>
      </c>
      <c r="AA20" s="850">
        <f>SUM(X20:Z20)</f>
        <v>520</v>
      </c>
      <c r="AB20" s="858">
        <v>0</v>
      </c>
      <c r="AC20" s="788">
        <f>AA20+AB20</f>
        <v>520</v>
      </c>
      <c r="AD20" s="280">
        <f>(AC20/Q20)</f>
        <v>0.8666666666666667</v>
      </c>
      <c r="AE20" s="4"/>
      <c r="AF20" s="4"/>
    </row>
    <row r="21" spans="1:32" x14ac:dyDescent="0.25">
      <c r="A21" s="4"/>
      <c r="B21" s="796" t="s">
        <v>11</v>
      </c>
      <c r="C21" s="330" t="s">
        <v>2</v>
      </c>
      <c r="D21" s="856"/>
      <c r="E21" s="855"/>
      <c r="F21" s="854">
        <v>498.79616000000004</v>
      </c>
      <c r="G21" s="850">
        <f>SUM(D21:F21)</f>
        <v>498.79616000000004</v>
      </c>
      <c r="H21" s="857"/>
      <c r="I21" s="848"/>
      <c r="J21" s="853">
        <f>SUM(J22:J23)</f>
        <v>225.5</v>
      </c>
      <c r="K21" s="788">
        <f>G21+J21</f>
        <v>724.2961600000001</v>
      </c>
      <c r="L21" s="856"/>
      <c r="M21" s="855"/>
      <c r="N21" s="854">
        <v>210</v>
      </c>
      <c r="O21" s="850">
        <f>SUM(L21:N21)</f>
        <v>210</v>
      </c>
      <c r="P21" s="853">
        <v>260</v>
      </c>
      <c r="Q21" s="788">
        <f>O21+P21</f>
        <v>470</v>
      </c>
      <c r="R21" s="856">
        <v>13.6</v>
      </c>
      <c r="S21" s="855"/>
      <c r="T21" s="854">
        <v>329.2</v>
      </c>
      <c r="U21" s="850">
        <f>SUM(R21:T21)</f>
        <v>342.8</v>
      </c>
      <c r="V21" s="853">
        <f>SUM(V22:V23)</f>
        <v>117.5</v>
      </c>
      <c r="W21" s="788">
        <f>U21+V21</f>
        <v>460.3</v>
      </c>
      <c r="X21" s="856"/>
      <c r="Y21" s="855"/>
      <c r="Z21" s="854">
        <v>465</v>
      </c>
      <c r="AA21" s="850">
        <f>SUM(X21:Z21)</f>
        <v>465</v>
      </c>
      <c r="AB21" s="853">
        <v>229.6</v>
      </c>
      <c r="AC21" s="788">
        <f>AA21+AB21</f>
        <v>694.6</v>
      </c>
      <c r="AD21" s="280">
        <f>(AC21/Q21)</f>
        <v>1.4778723404255321</v>
      </c>
      <c r="AE21" s="4"/>
      <c r="AF21" s="4"/>
    </row>
    <row r="22" spans="1:32" x14ac:dyDescent="0.25">
      <c r="A22" s="4"/>
      <c r="B22" s="796" t="s">
        <v>13</v>
      </c>
      <c r="C22" s="330" t="s">
        <v>4</v>
      </c>
      <c r="D22" s="856"/>
      <c r="E22" s="855"/>
      <c r="F22" s="854">
        <v>0</v>
      </c>
      <c r="G22" s="850">
        <f>SUM(D22:F22)</f>
        <v>0</v>
      </c>
      <c r="H22" s="857"/>
      <c r="I22" s="848"/>
      <c r="J22" s="853">
        <v>225.5</v>
      </c>
      <c r="K22" s="788">
        <f>G22+J22</f>
        <v>225.5</v>
      </c>
      <c r="L22" s="856"/>
      <c r="M22" s="855"/>
      <c r="N22" s="854">
        <v>0</v>
      </c>
      <c r="O22" s="850">
        <f>SUM(L22:N22)</f>
        <v>0</v>
      </c>
      <c r="P22" s="853">
        <v>260</v>
      </c>
      <c r="Q22" s="788">
        <f>O22+P22</f>
        <v>260</v>
      </c>
      <c r="R22" s="856"/>
      <c r="S22" s="855"/>
      <c r="T22" s="854">
        <v>0</v>
      </c>
      <c r="U22" s="850">
        <f>SUM(R22:T22)</f>
        <v>0</v>
      </c>
      <c r="V22" s="853">
        <v>117.5</v>
      </c>
      <c r="W22" s="788">
        <f>U22+V22</f>
        <v>117.5</v>
      </c>
      <c r="X22" s="856"/>
      <c r="Y22" s="855"/>
      <c r="Z22" s="854">
        <v>0</v>
      </c>
      <c r="AA22" s="850">
        <f>SUM(X22:Z22)</f>
        <v>0</v>
      </c>
      <c r="AB22" s="853">
        <v>229.6</v>
      </c>
      <c r="AC22" s="788">
        <f>AA22+AB22</f>
        <v>229.6</v>
      </c>
      <c r="AD22" s="280">
        <f>(AC22/Q22)</f>
        <v>0.88307692307692309</v>
      </c>
      <c r="AE22" s="4"/>
      <c r="AF22" s="4"/>
    </row>
    <row r="23" spans="1:32" ht="15.75" thickBot="1" x14ac:dyDescent="0.3">
      <c r="A23" s="4"/>
      <c r="B23" s="852" t="s">
        <v>15</v>
      </c>
      <c r="C23" s="851" t="s">
        <v>6</v>
      </c>
      <c r="D23" s="847"/>
      <c r="E23" s="846"/>
      <c r="F23" s="845">
        <v>0</v>
      </c>
      <c r="G23" s="850">
        <f>SUM(D23:F23)</f>
        <v>0</v>
      </c>
      <c r="H23" s="849"/>
      <c r="I23" s="848"/>
      <c r="J23" s="843">
        <v>0</v>
      </c>
      <c r="K23" s="777">
        <f>G23+J23</f>
        <v>0</v>
      </c>
      <c r="L23" s="847"/>
      <c r="M23" s="846"/>
      <c r="N23" s="845">
        <v>0</v>
      </c>
      <c r="O23" s="844">
        <f>SUM(L23:N23)</f>
        <v>0</v>
      </c>
      <c r="P23" s="843">
        <v>0</v>
      </c>
      <c r="Q23" s="777">
        <f>O23+P23</f>
        <v>0</v>
      </c>
      <c r="R23" s="847"/>
      <c r="S23" s="846"/>
      <c r="T23" s="845">
        <v>0</v>
      </c>
      <c r="U23" s="844">
        <f>SUM(R23:T23)</f>
        <v>0</v>
      </c>
      <c r="V23" s="843">
        <v>0</v>
      </c>
      <c r="W23" s="777">
        <f>U23+V23</f>
        <v>0</v>
      </c>
      <c r="X23" s="847"/>
      <c r="Y23" s="846"/>
      <c r="Z23" s="845">
        <v>0</v>
      </c>
      <c r="AA23" s="844">
        <f>SUM(X23:Z23)</f>
        <v>0</v>
      </c>
      <c r="AB23" s="843">
        <v>0</v>
      </c>
      <c r="AC23" s="777">
        <f>AA23+AB23</f>
        <v>0</v>
      </c>
      <c r="AD23" s="308" t="e">
        <f>(AC23/Q23)</f>
        <v>#DIV/0!</v>
      </c>
      <c r="AE23" s="4"/>
      <c r="AF23" s="4"/>
    </row>
    <row r="24" spans="1:32" ht="15.75" thickBot="1" x14ac:dyDescent="0.3">
      <c r="A24" s="4"/>
      <c r="B24" s="776" t="s">
        <v>17</v>
      </c>
      <c r="C24" s="842" t="s">
        <v>8</v>
      </c>
      <c r="D24" s="839">
        <f>SUM(D15:D21)</f>
        <v>6231</v>
      </c>
      <c r="E24" s="838">
        <f>SUM(E15:E21)</f>
        <v>47910.6</v>
      </c>
      <c r="F24" s="838">
        <f>SUM(F15:F21)</f>
        <v>4258.64707</v>
      </c>
      <c r="G24" s="837">
        <f>SUM(D24:F24)</f>
        <v>58400.247069999998</v>
      </c>
      <c r="H24" s="841"/>
      <c r="I24" s="840"/>
      <c r="J24" s="836">
        <f>SUM(J15:J21)</f>
        <v>686.7</v>
      </c>
      <c r="K24" s="836">
        <f>SUM(K15:K21)</f>
        <v>59086.947069999995</v>
      </c>
      <c r="L24" s="839">
        <f>SUM(L15:L21)</f>
        <v>7814.1</v>
      </c>
      <c r="M24" s="838">
        <f>SUM(M15:M21)</f>
        <v>48839.6</v>
      </c>
      <c r="N24" s="838">
        <f>SUM(N15:N21)</f>
        <v>3440</v>
      </c>
      <c r="O24" s="837">
        <f>SUM(L24:N24)</f>
        <v>60093.7</v>
      </c>
      <c r="P24" s="836">
        <f>SUM(P15:P21)</f>
        <v>570</v>
      </c>
      <c r="Q24" s="836">
        <f>SUM(Q15:Q21)</f>
        <v>60663.7</v>
      </c>
      <c r="R24" s="839">
        <f>SUM(R15:R21)</f>
        <v>3544.7</v>
      </c>
      <c r="S24" s="838">
        <f>SUM(S15:S21)</f>
        <v>26006.9</v>
      </c>
      <c r="T24" s="838">
        <f>SUM(T15:T23)</f>
        <v>2208.1999999999998</v>
      </c>
      <c r="U24" s="837">
        <f>SUM(R24:T24)</f>
        <v>31759.800000000003</v>
      </c>
      <c r="V24" s="836">
        <f>SUM(V15:V21)</f>
        <v>418.2</v>
      </c>
      <c r="W24" s="836">
        <f>SUM(W15:W21)</f>
        <v>32178</v>
      </c>
      <c r="X24" s="839">
        <f>SUM(X15:X21)</f>
        <v>7396.7</v>
      </c>
      <c r="Y24" s="838">
        <f>SUM(Y15:Y21)</f>
        <v>49377.599999999999</v>
      </c>
      <c r="Z24" s="838">
        <f>SUM(Z15:Z23)</f>
        <v>4066</v>
      </c>
      <c r="AA24" s="837">
        <f>SUM(X24:Z24)</f>
        <v>60840.299999999996</v>
      </c>
      <c r="AB24" s="836">
        <f>SUM(AB15:AB21)</f>
        <v>679.6</v>
      </c>
      <c r="AC24" s="836">
        <f>SUM(AC15:AC21)</f>
        <v>61519.9</v>
      </c>
      <c r="AD24" s="378">
        <f>(AC24/Q24)</f>
        <v>1.0141138769972817</v>
      </c>
      <c r="AE24" s="4"/>
      <c r="AF24" s="4"/>
    </row>
    <row r="25" spans="1:32" ht="15.75" customHeight="1" thickBot="1" x14ac:dyDescent="0.3">
      <c r="A25" s="4"/>
      <c r="B25" s="835"/>
      <c r="C25" s="834"/>
      <c r="D25" s="371" t="s">
        <v>68</v>
      </c>
      <c r="E25" s="370"/>
      <c r="F25" s="370"/>
      <c r="G25" s="369"/>
      <c r="H25" s="369"/>
      <c r="I25" s="369"/>
      <c r="J25" s="369"/>
      <c r="K25" s="368"/>
      <c r="L25" s="371" t="s">
        <v>68</v>
      </c>
      <c r="M25" s="370"/>
      <c r="N25" s="370"/>
      <c r="O25" s="369"/>
      <c r="P25" s="369"/>
      <c r="Q25" s="368"/>
      <c r="R25" s="371" t="s">
        <v>68</v>
      </c>
      <c r="S25" s="370"/>
      <c r="T25" s="370"/>
      <c r="U25" s="369"/>
      <c r="V25" s="369"/>
      <c r="W25" s="368"/>
      <c r="X25" s="371" t="s">
        <v>68</v>
      </c>
      <c r="Y25" s="370"/>
      <c r="Z25" s="370"/>
      <c r="AA25" s="369"/>
      <c r="AB25" s="369"/>
      <c r="AC25" s="368"/>
      <c r="AD25" s="833" t="s">
        <v>176</v>
      </c>
      <c r="AE25" s="4"/>
      <c r="AF25" s="4"/>
    </row>
    <row r="26" spans="1:32" ht="15.75" thickBot="1" x14ac:dyDescent="0.3">
      <c r="A26" s="4"/>
      <c r="B26" s="832" t="s">
        <v>37</v>
      </c>
      <c r="C26" s="831" t="s">
        <v>38</v>
      </c>
      <c r="D26" s="828" t="s">
        <v>229</v>
      </c>
      <c r="E26" s="827"/>
      <c r="F26" s="827"/>
      <c r="G26" s="830" t="s">
        <v>64</v>
      </c>
      <c r="H26" s="829"/>
      <c r="I26" s="829"/>
      <c r="J26" s="825" t="s">
        <v>67</v>
      </c>
      <c r="K26" s="824" t="s">
        <v>68</v>
      </c>
      <c r="L26" s="828" t="s">
        <v>229</v>
      </c>
      <c r="M26" s="827"/>
      <c r="N26" s="827"/>
      <c r="O26" s="826" t="s">
        <v>64</v>
      </c>
      <c r="P26" s="825" t="s">
        <v>67</v>
      </c>
      <c r="Q26" s="824" t="s">
        <v>68</v>
      </c>
      <c r="R26" s="828" t="s">
        <v>229</v>
      </c>
      <c r="S26" s="827"/>
      <c r="T26" s="827"/>
      <c r="U26" s="826" t="s">
        <v>64</v>
      </c>
      <c r="V26" s="825" t="s">
        <v>67</v>
      </c>
      <c r="W26" s="824" t="s">
        <v>68</v>
      </c>
      <c r="X26" s="828" t="s">
        <v>229</v>
      </c>
      <c r="Y26" s="827"/>
      <c r="Z26" s="827"/>
      <c r="AA26" s="826" t="s">
        <v>64</v>
      </c>
      <c r="AB26" s="825" t="s">
        <v>67</v>
      </c>
      <c r="AC26" s="824" t="s">
        <v>68</v>
      </c>
      <c r="AD26" s="823"/>
      <c r="AE26" s="4"/>
      <c r="AF26" s="4"/>
    </row>
    <row r="27" spans="1:32" ht="15.75" thickBot="1" x14ac:dyDescent="0.3">
      <c r="A27" s="4"/>
      <c r="B27" s="822"/>
      <c r="C27" s="821"/>
      <c r="D27" s="817" t="s">
        <v>54</v>
      </c>
      <c r="E27" s="816" t="s">
        <v>55</v>
      </c>
      <c r="F27" s="815" t="s">
        <v>56</v>
      </c>
      <c r="G27" s="820"/>
      <c r="H27" s="819"/>
      <c r="I27" s="818"/>
      <c r="J27" s="813"/>
      <c r="K27" s="812"/>
      <c r="L27" s="817" t="s">
        <v>54</v>
      </c>
      <c r="M27" s="816" t="s">
        <v>55</v>
      </c>
      <c r="N27" s="815" t="s">
        <v>56</v>
      </c>
      <c r="O27" s="814"/>
      <c r="P27" s="813"/>
      <c r="Q27" s="812"/>
      <c r="R27" s="817" t="s">
        <v>54</v>
      </c>
      <c r="S27" s="816" t="s">
        <v>55</v>
      </c>
      <c r="T27" s="815" t="s">
        <v>56</v>
      </c>
      <c r="U27" s="814"/>
      <c r="V27" s="813"/>
      <c r="W27" s="812"/>
      <c r="X27" s="817" t="s">
        <v>54</v>
      </c>
      <c r="Y27" s="816" t="s">
        <v>55</v>
      </c>
      <c r="Z27" s="815" t="s">
        <v>56</v>
      </c>
      <c r="AA27" s="814"/>
      <c r="AB27" s="813"/>
      <c r="AC27" s="812"/>
      <c r="AD27" s="811"/>
      <c r="AE27" s="4"/>
      <c r="AF27" s="4"/>
    </row>
    <row r="28" spans="1:32" ht="15.75" thickBot="1" x14ac:dyDescent="0.3">
      <c r="A28" s="4"/>
      <c r="B28" s="810" t="s">
        <v>19</v>
      </c>
      <c r="C28" s="809" t="s">
        <v>10</v>
      </c>
      <c r="D28" s="804">
        <v>242.9</v>
      </c>
      <c r="E28" s="804">
        <v>0</v>
      </c>
      <c r="F28" s="804">
        <v>0</v>
      </c>
      <c r="G28" s="808">
        <f>SUM(D28:F28)</f>
        <v>242.9</v>
      </c>
      <c r="H28" s="807"/>
      <c r="I28" s="806"/>
      <c r="J28" s="803">
        <v>0</v>
      </c>
      <c r="K28" s="802">
        <f>G28+J28</f>
        <v>242.9</v>
      </c>
      <c r="L28" s="805">
        <v>292</v>
      </c>
      <c r="M28" s="804">
        <v>0</v>
      </c>
      <c r="N28" s="804">
        <v>0</v>
      </c>
      <c r="O28" s="803">
        <f>SUM(L28:N28)</f>
        <v>292</v>
      </c>
      <c r="P28" s="803">
        <v>4</v>
      </c>
      <c r="Q28" s="802">
        <f>O28+P28</f>
        <v>296</v>
      </c>
      <c r="R28" s="805">
        <v>134.4</v>
      </c>
      <c r="S28" s="804">
        <v>0</v>
      </c>
      <c r="T28" s="804">
        <v>0</v>
      </c>
      <c r="U28" s="803">
        <f>SUM(R28:T28)</f>
        <v>134.4</v>
      </c>
      <c r="V28" s="803">
        <v>0</v>
      </c>
      <c r="W28" s="802">
        <f>U28+V28</f>
        <v>134.4</v>
      </c>
      <c r="X28" s="801">
        <f>308.5-88</f>
        <v>220.5</v>
      </c>
      <c r="Y28" s="804">
        <v>0</v>
      </c>
      <c r="Z28" s="804">
        <v>0</v>
      </c>
      <c r="AA28" s="803">
        <f>SUM(X28:Z28)</f>
        <v>220.5</v>
      </c>
      <c r="AB28" s="803">
        <v>4</v>
      </c>
      <c r="AC28" s="802">
        <f>AA28+AB28</f>
        <v>224.5</v>
      </c>
      <c r="AD28" s="280">
        <f>(AC28/Q28)</f>
        <v>0.75844594594594594</v>
      </c>
      <c r="AE28" s="4"/>
      <c r="AF28" s="4"/>
    </row>
    <row r="29" spans="1:32" x14ac:dyDescent="0.25">
      <c r="A29" s="4"/>
      <c r="B29" s="796" t="s">
        <v>20</v>
      </c>
      <c r="C29" s="330" t="s">
        <v>12</v>
      </c>
      <c r="D29" s="795">
        <f>28.9+730</f>
        <v>758.9</v>
      </c>
      <c r="E29" s="790">
        <f>322.7+147.6</f>
        <v>470.29999999999995</v>
      </c>
      <c r="F29" s="790">
        <v>2282.3817100000001</v>
      </c>
      <c r="G29" s="784">
        <f>SUM(D29:F29)</f>
        <v>3511.5817099999999</v>
      </c>
      <c r="H29" s="794"/>
      <c r="I29" s="793"/>
      <c r="J29" s="789">
        <v>308.89999999999998</v>
      </c>
      <c r="K29" s="788">
        <f>G29+J29</f>
        <v>3820.48171</v>
      </c>
      <c r="L29" s="792">
        <v>734.5</v>
      </c>
      <c r="M29" s="790">
        <v>317.10000000000002</v>
      </c>
      <c r="N29" s="790">
        <v>2170</v>
      </c>
      <c r="O29" s="789">
        <f>SUM(L29:N29)</f>
        <v>3221.6</v>
      </c>
      <c r="P29" s="789">
        <v>280</v>
      </c>
      <c r="Q29" s="788">
        <f>O29+P29</f>
        <v>3501.6</v>
      </c>
      <c r="R29" s="792">
        <f>383.5+20.6</f>
        <v>404.1</v>
      </c>
      <c r="S29" s="790">
        <f>32.3+108.2</f>
        <v>140.5</v>
      </c>
      <c r="T29" s="790">
        <v>1258.5</v>
      </c>
      <c r="U29" s="789">
        <f>SUM(R29:T29)</f>
        <v>1803.1</v>
      </c>
      <c r="V29" s="789">
        <v>191.66973999999999</v>
      </c>
      <c r="W29" s="788">
        <f>U29+V29</f>
        <v>1994.76974</v>
      </c>
      <c r="X29" s="801">
        <f>23.5+745.1-23.5-99.1</f>
        <v>646</v>
      </c>
      <c r="Y29" s="790">
        <f>239.1+78+20</f>
        <v>337.1</v>
      </c>
      <c r="Z29" s="790">
        <v>2663</v>
      </c>
      <c r="AA29" s="789">
        <f>SUM(X29:Z29)</f>
        <v>3646.1</v>
      </c>
      <c r="AB29" s="789">
        <v>290</v>
      </c>
      <c r="AC29" s="788">
        <f>AA29+AB29</f>
        <v>3936.1</v>
      </c>
      <c r="AD29" s="280">
        <f>(AC29/Q29)</f>
        <v>1.1240861320539182</v>
      </c>
      <c r="AE29" s="4"/>
      <c r="AF29" s="4"/>
    </row>
    <row r="30" spans="1:32" x14ac:dyDescent="0.25">
      <c r="A30" s="4"/>
      <c r="B30" s="796" t="s">
        <v>22</v>
      </c>
      <c r="C30" s="330" t="s">
        <v>14</v>
      </c>
      <c r="D30" s="795">
        <v>2365.4</v>
      </c>
      <c r="E30" s="790">
        <v>0</v>
      </c>
      <c r="F30" s="790">
        <v>0</v>
      </c>
      <c r="G30" s="784">
        <f>SUM(D30:F30)</f>
        <v>2365.4</v>
      </c>
      <c r="H30" s="794"/>
      <c r="I30" s="793"/>
      <c r="J30" s="789">
        <v>78</v>
      </c>
      <c r="K30" s="788">
        <f>G30+J30</f>
        <v>2443.4</v>
      </c>
      <c r="L30" s="792">
        <v>3068.7999999999997</v>
      </c>
      <c r="M30" s="790">
        <v>0</v>
      </c>
      <c r="N30" s="790">
        <v>0</v>
      </c>
      <c r="O30" s="789">
        <f>SUM(L30:N30)</f>
        <v>3068.7999999999997</v>
      </c>
      <c r="P30" s="789">
        <v>45</v>
      </c>
      <c r="Q30" s="788">
        <f>O30+P30</f>
        <v>3113.7999999999997</v>
      </c>
      <c r="R30" s="792">
        <v>1657</v>
      </c>
      <c r="S30" s="790">
        <v>0</v>
      </c>
      <c r="T30" s="790">
        <v>0</v>
      </c>
      <c r="U30" s="789">
        <f>SUM(R30:T30)</f>
        <v>1657</v>
      </c>
      <c r="V30" s="789">
        <v>3.54129</v>
      </c>
      <c r="W30" s="788">
        <f>U30+V30</f>
        <v>1660.5412899999999</v>
      </c>
      <c r="X30" s="800">
        <v>3329.7</v>
      </c>
      <c r="Y30" s="790">
        <v>0</v>
      </c>
      <c r="Z30" s="790">
        <v>10</v>
      </c>
      <c r="AA30" s="789">
        <f>SUM(X30:Z30)</f>
        <v>3339.7</v>
      </c>
      <c r="AB30" s="789">
        <v>85.8</v>
      </c>
      <c r="AC30" s="788">
        <f>AA30+AB30</f>
        <v>3425.5</v>
      </c>
      <c r="AD30" s="280">
        <f>(AC30/Q30)</f>
        <v>1.1001027683216649</v>
      </c>
      <c r="AE30" s="4"/>
      <c r="AF30" s="4"/>
    </row>
    <row r="31" spans="1:32" x14ac:dyDescent="0.25">
      <c r="A31" s="4"/>
      <c r="B31" s="796" t="s">
        <v>24</v>
      </c>
      <c r="C31" s="330" t="s">
        <v>16</v>
      </c>
      <c r="D31" s="795">
        <f>58.1+1298.8</f>
        <v>1356.8999999999999</v>
      </c>
      <c r="E31" s="790">
        <f>75+139.5</f>
        <v>214.5</v>
      </c>
      <c r="F31" s="790">
        <v>15.521000000000001</v>
      </c>
      <c r="G31" s="784">
        <f>SUM(D31:F31)</f>
        <v>1586.9209999999998</v>
      </c>
      <c r="H31" s="794"/>
      <c r="I31" s="793"/>
      <c r="J31" s="789">
        <v>0</v>
      </c>
      <c r="K31" s="788">
        <f>G31+J31</f>
        <v>1586.9209999999998</v>
      </c>
      <c r="L31" s="792">
        <v>1606.1</v>
      </c>
      <c r="M31" s="790">
        <v>242</v>
      </c>
      <c r="N31" s="790">
        <v>45</v>
      </c>
      <c r="O31" s="789">
        <f>SUM(L31:N31)</f>
        <v>1893.1</v>
      </c>
      <c r="P31" s="789">
        <v>15</v>
      </c>
      <c r="Q31" s="788">
        <f>O31+P31</f>
        <v>1908.1</v>
      </c>
      <c r="R31" s="792">
        <f>803.7+17.4</f>
        <v>821.1</v>
      </c>
      <c r="S31" s="790">
        <f>114.7+154.9</f>
        <v>269.60000000000002</v>
      </c>
      <c r="T31" s="790">
        <v>8.3000000000000007</v>
      </c>
      <c r="U31" s="789">
        <f>SUM(R31:T31)</f>
        <v>1099</v>
      </c>
      <c r="V31" s="789">
        <v>0</v>
      </c>
      <c r="W31" s="788">
        <f>U31+V31</f>
        <v>1099</v>
      </c>
      <c r="X31" s="797">
        <f>1502+62.5-62.5-46.5</f>
        <v>1455.5</v>
      </c>
      <c r="Y31" s="790">
        <f>92+150+78</f>
        <v>320</v>
      </c>
      <c r="Z31" s="790">
        <v>70</v>
      </c>
      <c r="AA31" s="789">
        <f>SUM(X31:Z31)</f>
        <v>1845.5</v>
      </c>
      <c r="AB31" s="789">
        <v>15</v>
      </c>
      <c r="AC31" s="788">
        <f>AA31+AB31</f>
        <v>1860.5</v>
      </c>
      <c r="AD31" s="280">
        <f>(AC31/Q31)</f>
        <v>0.97505371835857668</v>
      </c>
      <c r="AE31" s="4"/>
      <c r="AF31" s="4"/>
    </row>
    <row r="32" spans="1:32" x14ac:dyDescent="0.25">
      <c r="A32" s="4"/>
      <c r="B32" s="796" t="s">
        <v>26</v>
      </c>
      <c r="C32" s="330" t="s">
        <v>18</v>
      </c>
      <c r="D32" s="795">
        <f>SUM(D33:D34)</f>
        <v>326.09999999999997</v>
      </c>
      <c r="E32" s="790">
        <f>SUM(E33:E34)</f>
        <v>34468.9</v>
      </c>
      <c r="F32" s="799">
        <v>0</v>
      </c>
      <c r="G32" s="784">
        <f>SUM(D32:F32)</f>
        <v>34795</v>
      </c>
      <c r="H32" s="794"/>
      <c r="I32" s="793"/>
      <c r="J32" s="789">
        <f>SUM(J33:J34)</f>
        <v>187.3</v>
      </c>
      <c r="K32" s="788">
        <f>G32+J32</f>
        <v>34982.300000000003</v>
      </c>
      <c r="L32" s="798">
        <v>400.8</v>
      </c>
      <c r="M32" s="790">
        <v>34880.400000000001</v>
      </c>
      <c r="N32" s="790">
        <v>10</v>
      </c>
      <c r="O32" s="789">
        <f>SUM(L32:N32)</f>
        <v>35291.200000000004</v>
      </c>
      <c r="P32" s="789">
        <f>SUM(P33:P34)</f>
        <v>154</v>
      </c>
      <c r="Q32" s="788">
        <f>O32+P32</f>
        <v>35445.200000000004</v>
      </c>
      <c r="R32" s="798">
        <f>SUM(R33:R34)</f>
        <v>139.30000000000001</v>
      </c>
      <c r="S32" s="790">
        <f>SUM(S33:S34)</f>
        <v>16863.199999999997</v>
      </c>
      <c r="T32" s="790">
        <v>0</v>
      </c>
      <c r="U32" s="789">
        <f>SUM(R32:T32)</f>
        <v>17002.499999999996</v>
      </c>
      <c r="V32" s="789">
        <f>SUM(V33:V34)</f>
        <v>79.381</v>
      </c>
      <c r="W32" s="788">
        <f>U32+V32</f>
        <v>17081.880999999998</v>
      </c>
      <c r="X32" s="791">
        <f>SUM(X33:X34)</f>
        <v>316.10000000000002</v>
      </c>
      <c r="Y32" s="790">
        <f>SUM(Y33:Y34)</f>
        <v>35210.400000000001</v>
      </c>
      <c r="Z32" s="790">
        <f>SUM(Z33:Z34)</f>
        <v>5</v>
      </c>
      <c r="AA32" s="789">
        <f>SUM(X32:Z32)</f>
        <v>35531.5</v>
      </c>
      <c r="AB32" s="789">
        <f>SUM(AB33:AB34)</f>
        <v>155</v>
      </c>
      <c r="AC32" s="788">
        <f>AA32+AB32</f>
        <v>35686.5</v>
      </c>
      <c r="AD32" s="280">
        <f>(AC32/Q32)</f>
        <v>1.0068076918736528</v>
      </c>
      <c r="AE32" s="4"/>
      <c r="AF32" s="4"/>
    </row>
    <row r="33" spans="1:32" x14ac:dyDescent="0.25">
      <c r="A33" s="4"/>
      <c r="B33" s="796" t="s">
        <v>28</v>
      </c>
      <c r="C33" s="330" t="s">
        <v>42</v>
      </c>
      <c r="D33" s="795"/>
      <c r="E33" s="790">
        <f>32440+1301.9</f>
        <v>33741.9</v>
      </c>
      <c r="F33" s="790">
        <v>0</v>
      </c>
      <c r="G33" s="784">
        <f>SUM(D33:F33)</f>
        <v>33741.9</v>
      </c>
      <c r="H33" s="794"/>
      <c r="I33" s="793"/>
      <c r="J33" s="789">
        <v>52.7</v>
      </c>
      <c r="K33" s="788">
        <f>G33+J33</f>
        <v>33794.6</v>
      </c>
      <c r="L33" s="798">
        <v>290.8</v>
      </c>
      <c r="M33" s="790">
        <v>34544</v>
      </c>
      <c r="N33" s="790">
        <v>10</v>
      </c>
      <c r="O33" s="789">
        <f>SUM(L33:N33)</f>
        <v>34844.800000000003</v>
      </c>
      <c r="P33" s="789">
        <v>44</v>
      </c>
      <c r="Q33" s="788">
        <f>O33+P33</f>
        <v>34888.800000000003</v>
      </c>
      <c r="R33" s="798">
        <v>111</v>
      </c>
      <c r="S33" s="790">
        <f>15373.9+208.4+872.1</f>
        <v>16454.399999999998</v>
      </c>
      <c r="T33" s="790">
        <v>0</v>
      </c>
      <c r="U33" s="789">
        <f>SUM(R33:T33)</f>
        <v>16565.399999999998</v>
      </c>
      <c r="V33" s="789">
        <v>40.628999999999998</v>
      </c>
      <c r="W33" s="788">
        <f>U33+V33</f>
        <v>16606.028999999999</v>
      </c>
      <c r="X33" s="791">
        <f>290.8+1.3</f>
        <v>292.10000000000002</v>
      </c>
      <c r="Y33" s="790">
        <f>32318+1646+250+330+320</f>
        <v>34864</v>
      </c>
      <c r="Z33" s="790">
        <v>5</v>
      </c>
      <c r="AA33" s="789">
        <f>SUM(X33:Z33)</f>
        <v>35161.1</v>
      </c>
      <c r="AB33" s="789">
        <v>55</v>
      </c>
      <c r="AC33" s="788">
        <f>AA33+AB33</f>
        <v>35216.1</v>
      </c>
      <c r="AD33" s="280">
        <f>(AC33/Q33)</f>
        <v>1.0093812340923161</v>
      </c>
      <c r="AE33" s="4"/>
      <c r="AF33" s="4"/>
    </row>
    <row r="34" spans="1:32" x14ac:dyDescent="0.25">
      <c r="A34" s="4"/>
      <c r="B34" s="796" t="s">
        <v>30</v>
      </c>
      <c r="C34" s="329" t="s">
        <v>21</v>
      </c>
      <c r="D34" s="795">
        <f>288.9+37.2</f>
        <v>326.09999999999997</v>
      </c>
      <c r="E34" s="790">
        <f>200+527</f>
        <v>727</v>
      </c>
      <c r="F34" s="790">
        <v>0</v>
      </c>
      <c r="G34" s="784">
        <f>SUM(D34:F34)</f>
        <v>1053.0999999999999</v>
      </c>
      <c r="H34" s="794"/>
      <c r="I34" s="793"/>
      <c r="J34" s="789">
        <v>134.6</v>
      </c>
      <c r="K34" s="788">
        <f>G34+J34</f>
        <v>1187.6999999999998</v>
      </c>
      <c r="L34" s="798">
        <v>110</v>
      </c>
      <c r="M34" s="790">
        <v>336.4</v>
      </c>
      <c r="N34" s="790">
        <v>0</v>
      </c>
      <c r="O34" s="789">
        <f>SUM(L34:N34)</f>
        <v>446.4</v>
      </c>
      <c r="P34" s="789">
        <v>110</v>
      </c>
      <c r="Q34" s="788">
        <f>O34+P34</f>
        <v>556.4</v>
      </c>
      <c r="R34" s="798">
        <v>28.3</v>
      </c>
      <c r="S34" s="790">
        <f>127.7+53.1+228</f>
        <v>408.8</v>
      </c>
      <c r="T34" s="790">
        <v>0</v>
      </c>
      <c r="U34" s="789">
        <f>SUM(R34:T34)</f>
        <v>437.1</v>
      </c>
      <c r="V34" s="789">
        <v>38.752000000000002</v>
      </c>
      <c r="W34" s="788">
        <f>U34+V34</f>
        <v>475.85200000000003</v>
      </c>
      <c r="X34" s="797">
        <f>85-61</f>
        <v>24</v>
      </c>
      <c r="Y34" s="790">
        <f>180+ 76.4+80+10</f>
        <v>346.4</v>
      </c>
      <c r="Z34" s="790">
        <v>0</v>
      </c>
      <c r="AA34" s="789">
        <f>SUM(X34:Z34)</f>
        <v>370.4</v>
      </c>
      <c r="AB34" s="789">
        <v>100</v>
      </c>
      <c r="AC34" s="788">
        <f>AA34+AB34</f>
        <v>470.4</v>
      </c>
      <c r="AD34" s="280">
        <f>(AC34/Q34)</f>
        <v>0.84543493889288279</v>
      </c>
      <c r="AE34" s="4"/>
      <c r="AF34" s="4"/>
    </row>
    <row r="35" spans="1:32" x14ac:dyDescent="0.25">
      <c r="A35" s="4"/>
      <c r="B35" s="796" t="s">
        <v>32</v>
      </c>
      <c r="C35" s="330" t="s">
        <v>23</v>
      </c>
      <c r="D35" s="795">
        <f>97.7</f>
        <v>97.7</v>
      </c>
      <c r="E35" s="790">
        <f>10792.5+426.8</f>
        <v>11219.3</v>
      </c>
      <c r="F35" s="790">
        <v>0</v>
      </c>
      <c r="G35" s="784">
        <f>SUM(D35:F35)</f>
        <v>11317</v>
      </c>
      <c r="H35" s="794"/>
      <c r="I35" s="793"/>
      <c r="J35" s="789">
        <v>39.1</v>
      </c>
      <c r="K35" s="788">
        <f>G35+J35</f>
        <v>11356.1</v>
      </c>
      <c r="L35" s="798">
        <v>110.89999999999999</v>
      </c>
      <c r="M35" s="790">
        <v>11645.599999999999</v>
      </c>
      <c r="N35" s="790">
        <v>0</v>
      </c>
      <c r="O35" s="789">
        <f>SUM(L35:N35)</f>
        <v>11756.499999999998</v>
      </c>
      <c r="P35" s="789">
        <v>11.7</v>
      </c>
      <c r="Q35" s="788">
        <f>O35+P35</f>
        <v>11768.199999999999</v>
      </c>
      <c r="R35" s="798">
        <v>37.5</v>
      </c>
      <c r="S35" s="790">
        <f>5272+357.1</f>
        <v>5629.1</v>
      </c>
      <c r="T35" s="790">
        <v>0</v>
      </c>
      <c r="U35" s="789">
        <f>SUM(R35:T35)</f>
        <v>5666.6</v>
      </c>
      <c r="V35" s="789">
        <v>13.733000000000001</v>
      </c>
      <c r="W35" s="788">
        <f>U35+V35</f>
        <v>5680.3330000000005</v>
      </c>
      <c r="X35" s="797">
        <f>2.8+98.3+0.4-2.8</f>
        <v>98.7</v>
      </c>
      <c r="Y35" s="790">
        <f>10984.3+556.3+105+80</f>
        <v>11725.599999999999</v>
      </c>
      <c r="Z35" s="790">
        <v>0</v>
      </c>
      <c r="AA35" s="789">
        <f>SUM(X35:Z35)</f>
        <v>11824.3</v>
      </c>
      <c r="AB35" s="789">
        <v>18.899999999999999</v>
      </c>
      <c r="AC35" s="788">
        <f>AA35+AB35</f>
        <v>11843.199999999999</v>
      </c>
      <c r="AD35" s="280">
        <f>(AC35/Q35)</f>
        <v>1.0063731071871653</v>
      </c>
      <c r="AE35" s="4"/>
      <c r="AF35" s="4"/>
    </row>
    <row r="36" spans="1:32" x14ac:dyDescent="0.25">
      <c r="A36" s="4"/>
      <c r="B36" s="796" t="s">
        <v>33</v>
      </c>
      <c r="C36" s="330" t="s">
        <v>25</v>
      </c>
      <c r="D36" s="795">
        <v>0</v>
      </c>
      <c r="E36" s="790">
        <v>0</v>
      </c>
      <c r="F36" s="790">
        <v>86.944469999999995</v>
      </c>
      <c r="G36" s="784">
        <f>SUM(D36:F36)</f>
        <v>86.944469999999995</v>
      </c>
      <c r="H36" s="794"/>
      <c r="I36" s="793"/>
      <c r="J36" s="789">
        <v>0</v>
      </c>
      <c r="K36" s="788">
        <f>G36+J36</f>
        <v>86.944469999999995</v>
      </c>
      <c r="L36" s="792">
        <v>0</v>
      </c>
      <c r="M36" s="790">
        <v>0</v>
      </c>
      <c r="N36" s="790">
        <v>2</v>
      </c>
      <c r="O36" s="789">
        <f>SUM(L36:N36)</f>
        <v>2</v>
      </c>
      <c r="P36" s="789">
        <v>0</v>
      </c>
      <c r="Q36" s="788">
        <f>O36+P36</f>
        <v>2</v>
      </c>
      <c r="R36" s="792">
        <v>0</v>
      </c>
      <c r="S36" s="790">
        <v>0</v>
      </c>
      <c r="T36" s="790">
        <v>63</v>
      </c>
      <c r="U36" s="789">
        <f>SUM(R36:T36)</f>
        <v>63</v>
      </c>
      <c r="V36" s="789"/>
      <c r="W36" s="788">
        <f>U36+V36</f>
        <v>63</v>
      </c>
      <c r="X36" s="791">
        <v>0</v>
      </c>
      <c r="Y36" s="790">
        <v>0</v>
      </c>
      <c r="Z36" s="790">
        <v>130</v>
      </c>
      <c r="AA36" s="789">
        <f>SUM(X36:Z36)</f>
        <v>130</v>
      </c>
      <c r="AB36" s="789">
        <v>0</v>
      </c>
      <c r="AC36" s="788">
        <f>AA36+AB36</f>
        <v>130</v>
      </c>
      <c r="AD36" s="280">
        <f>(AC36/Q36)</f>
        <v>65</v>
      </c>
      <c r="AE36" s="4"/>
      <c r="AF36" s="4"/>
    </row>
    <row r="37" spans="1:32" x14ac:dyDescent="0.25">
      <c r="A37" s="4"/>
      <c r="B37" s="796" t="s">
        <v>34</v>
      </c>
      <c r="C37" s="330" t="s">
        <v>27</v>
      </c>
      <c r="D37" s="795">
        <v>1004.3</v>
      </c>
      <c r="E37" s="790">
        <v>0</v>
      </c>
      <c r="F37" s="790">
        <v>993.99400000000003</v>
      </c>
      <c r="G37" s="784">
        <f>SUM(D37:F37)</f>
        <v>1998.2939999999999</v>
      </c>
      <c r="H37" s="794"/>
      <c r="I37" s="793"/>
      <c r="J37" s="789">
        <v>0</v>
      </c>
      <c r="K37" s="788">
        <f>G37+J37</f>
        <v>1998.2939999999999</v>
      </c>
      <c r="L37" s="792">
        <v>996.4</v>
      </c>
      <c r="M37" s="790">
        <v>0</v>
      </c>
      <c r="N37" s="790">
        <v>1030</v>
      </c>
      <c r="O37" s="789">
        <f>SUM(L37:N37)</f>
        <v>2026.4</v>
      </c>
      <c r="P37" s="789">
        <v>0</v>
      </c>
      <c r="Q37" s="788">
        <f>O37+P37</f>
        <v>2026.4</v>
      </c>
      <c r="R37" s="792">
        <v>482.7</v>
      </c>
      <c r="S37" s="790">
        <v>0</v>
      </c>
      <c r="T37" s="790">
        <v>500.5</v>
      </c>
      <c r="U37" s="789">
        <f>SUM(R37:T37)</f>
        <v>983.2</v>
      </c>
      <c r="V37" s="789">
        <v>0</v>
      </c>
      <c r="W37" s="788">
        <f>U37+V37</f>
        <v>983.2</v>
      </c>
      <c r="X37" s="791">
        <v>996.4</v>
      </c>
      <c r="Y37" s="790">
        <v>0</v>
      </c>
      <c r="Z37" s="790">
        <v>1030</v>
      </c>
      <c r="AA37" s="789">
        <f>SUM(X37:Z37)</f>
        <v>2026.4</v>
      </c>
      <c r="AB37" s="789">
        <v>0</v>
      </c>
      <c r="AC37" s="788">
        <f>AA37+AB37</f>
        <v>2026.4</v>
      </c>
      <c r="AD37" s="280">
        <f>(AC37/Q37)</f>
        <v>1</v>
      </c>
      <c r="AE37" s="4"/>
      <c r="AF37" s="4"/>
    </row>
    <row r="38" spans="1:32" ht="15.75" thickBot="1" x14ac:dyDescent="0.3">
      <c r="A38" s="4"/>
      <c r="B38" s="787" t="s">
        <v>35</v>
      </c>
      <c r="C38" s="786" t="s">
        <v>29</v>
      </c>
      <c r="D38" s="785">
        <f>9.7+243.1</f>
        <v>252.79999999999998</v>
      </c>
      <c r="E38" s="779">
        <f>1121.5+843.1</f>
        <v>1964.6</v>
      </c>
      <c r="F38" s="779">
        <v>215.744</v>
      </c>
      <c r="G38" s="784">
        <f>SUM(D38:F38)</f>
        <v>2433.1440000000002</v>
      </c>
      <c r="H38" s="783"/>
      <c r="I38" s="782"/>
      <c r="J38" s="778">
        <v>1</v>
      </c>
      <c r="K38" s="777">
        <f>G38+J38</f>
        <v>2434.1440000000002</v>
      </c>
      <c r="L38" s="781">
        <v>604.6</v>
      </c>
      <c r="M38" s="779">
        <v>1754.5</v>
      </c>
      <c r="N38" s="779">
        <v>183</v>
      </c>
      <c r="O38" s="778">
        <f>SUM(L38:N38)</f>
        <v>2542.1</v>
      </c>
      <c r="P38" s="778">
        <v>60.3</v>
      </c>
      <c r="Q38" s="777">
        <f>O38+P38</f>
        <v>2602.4</v>
      </c>
      <c r="R38" s="781">
        <f>156.3+7.1</f>
        <v>163.4</v>
      </c>
      <c r="S38" s="779">
        <f>302.5+113.6</f>
        <v>416.1</v>
      </c>
      <c r="T38" s="779">
        <v>96.4</v>
      </c>
      <c r="U38" s="778">
        <f>SUM(R38:T38)</f>
        <v>675.9</v>
      </c>
      <c r="V38" s="778">
        <v>0.40629000000000004</v>
      </c>
      <c r="W38" s="777">
        <f>U38+V38</f>
        <v>676.30628999999999</v>
      </c>
      <c r="X38" s="780">
        <f>5.8+397.1-69.1</f>
        <v>333.80000000000007</v>
      </c>
      <c r="Y38" s="779">
        <f>320+32.9+100+266.6+1000+35+30</f>
        <v>1784.5</v>
      </c>
      <c r="Z38" s="779">
        <v>158</v>
      </c>
      <c r="AA38" s="778">
        <f>SUM(X38:Z38)</f>
        <v>2276.3000000000002</v>
      </c>
      <c r="AB38" s="778">
        <v>110.9</v>
      </c>
      <c r="AC38" s="777">
        <f>AA38+AB38</f>
        <v>2387.2000000000003</v>
      </c>
      <c r="AD38" s="308">
        <f>(AC38/Q38)</f>
        <v>0.91730710113741165</v>
      </c>
      <c r="AE38" s="4"/>
      <c r="AF38" s="4"/>
    </row>
    <row r="39" spans="1:32" ht="15.75" thickBot="1" x14ac:dyDescent="0.3">
      <c r="A39" s="4"/>
      <c r="B39" s="776" t="s">
        <v>48</v>
      </c>
      <c r="C39" s="775" t="s">
        <v>31</v>
      </c>
      <c r="D39" s="774">
        <f>SUM(D35:D38)+SUM(D28:D32)</f>
        <v>6405</v>
      </c>
      <c r="E39" s="770">
        <f>SUM(E35:E38)+SUM(E28:E32)</f>
        <v>48337.600000000006</v>
      </c>
      <c r="F39" s="770">
        <f>SUM(F35:F38)+SUM(F28:F32)</f>
        <v>3594.58518</v>
      </c>
      <c r="G39" s="773">
        <f>SUM(D39:F39)</f>
        <v>58337.185180000008</v>
      </c>
      <c r="H39" s="772"/>
      <c r="I39" s="771"/>
      <c r="J39" s="768">
        <f>SUM(J28:J32)+SUM(J35:J38)</f>
        <v>614.30000000000007</v>
      </c>
      <c r="K39" s="767">
        <f>SUM(K35:K38)+SUM(K28:K32)</f>
        <v>58951.485180000003</v>
      </c>
      <c r="L39" s="770">
        <f>SUM(L35:L38)+SUM(L28:L32)</f>
        <v>7814.1</v>
      </c>
      <c r="M39" s="770">
        <f>SUM(M35:M38)+SUM(M28:M32)</f>
        <v>48839.6</v>
      </c>
      <c r="N39" s="770">
        <f>SUM(N35:N38)+SUM(N28:N32)</f>
        <v>3440</v>
      </c>
      <c r="O39" s="769">
        <f>SUM(L39:N39)</f>
        <v>60093.7</v>
      </c>
      <c r="P39" s="768">
        <f>SUM(P28:P32)+SUM(P35:P38)</f>
        <v>570</v>
      </c>
      <c r="Q39" s="767">
        <f>SUM(Q35:Q38)+SUM(Q28:Q32)</f>
        <v>60663.700000000004</v>
      </c>
      <c r="R39" s="770">
        <f>SUM(R35:R38)+SUM(R28:R32)</f>
        <v>3839.5</v>
      </c>
      <c r="S39" s="770">
        <f>SUM(S35:S38)+SUM(S28:S32)</f>
        <v>23318.499999999996</v>
      </c>
      <c r="T39" s="770">
        <f>SUM(T35:T38)+SUM(T28:T32)</f>
        <v>1926.6999999999998</v>
      </c>
      <c r="U39" s="769">
        <f>SUM(R39:T39)</f>
        <v>29084.699999999997</v>
      </c>
      <c r="V39" s="768">
        <f>SUM(V28:V32)+SUM(V35:V38)</f>
        <v>288.73132000000004</v>
      </c>
      <c r="W39" s="767">
        <f>SUM(W35:W38)+SUM(W28:W32)</f>
        <v>29373.431319999996</v>
      </c>
      <c r="X39" s="770">
        <f>SUM(X35:X38)+SUM(X28:X32)</f>
        <v>7396.7000000000007</v>
      </c>
      <c r="Y39" s="770">
        <f>SUM(Y35:Y38)+SUM(Y28:Y32)</f>
        <v>49377.599999999999</v>
      </c>
      <c r="Z39" s="770">
        <f>SUM(Z35:Z38)+SUM(Z28:Z32)</f>
        <v>4066</v>
      </c>
      <c r="AA39" s="769">
        <f>SUM(X39:Z39)</f>
        <v>60840.3</v>
      </c>
      <c r="AB39" s="768">
        <f>SUM(AB28:AB32)+SUM(AB35:AB38)</f>
        <v>679.59999999999991</v>
      </c>
      <c r="AC39" s="767">
        <f>SUM(AC35:AC38)+SUM(AC28:AC32)</f>
        <v>61519.899999999994</v>
      </c>
      <c r="AD39" s="297">
        <f>(AC39/Q39)</f>
        <v>1.0141138769972815</v>
      </c>
      <c r="AE39" s="4"/>
      <c r="AF39" s="4"/>
    </row>
    <row r="40" spans="1:32" ht="19.5" thickBot="1" x14ac:dyDescent="0.35">
      <c r="A40" s="4"/>
      <c r="B40" s="766" t="s">
        <v>49</v>
      </c>
      <c r="C40" s="765" t="s">
        <v>51</v>
      </c>
      <c r="D40" s="763">
        <f>D24-D39</f>
        <v>-174</v>
      </c>
      <c r="E40" s="763">
        <f>E24-E39</f>
        <v>-427.00000000000728</v>
      </c>
      <c r="F40" s="763">
        <f>F24-F39</f>
        <v>664.06188999999995</v>
      </c>
      <c r="G40" s="762">
        <f>G24-G39</f>
        <v>63.061889999989944</v>
      </c>
      <c r="H40" s="764"/>
      <c r="I40" s="764"/>
      <c r="J40" s="762">
        <f>J24-J39</f>
        <v>72.399999999999977</v>
      </c>
      <c r="K40" s="761">
        <f>K24-K39</f>
        <v>135.4618899999914</v>
      </c>
      <c r="L40" s="763">
        <f>L24-L39</f>
        <v>0</v>
      </c>
      <c r="M40" s="763">
        <f>M24-M39</f>
        <v>0</v>
      </c>
      <c r="N40" s="763">
        <f>N24-N39</f>
        <v>0</v>
      </c>
      <c r="O40" s="762">
        <f>O24-O39</f>
        <v>0</v>
      </c>
      <c r="P40" s="762">
        <f>P24-P39</f>
        <v>0</v>
      </c>
      <c r="Q40" s="761">
        <f>Q24-Q39</f>
        <v>0</v>
      </c>
      <c r="R40" s="763">
        <f>R24-R39</f>
        <v>-294.80000000000018</v>
      </c>
      <c r="S40" s="763">
        <f>S24-S39</f>
        <v>2688.4000000000051</v>
      </c>
      <c r="T40" s="763">
        <f>T24-T39</f>
        <v>281.5</v>
      </c>
      <c r="U40" s="762">
        <f>U24-U39</f>
        <v>2675.1000000000058</v>
      </c>
      <c r="V40" s="762">
        <f>V24-V39</f>
        <v>129.46867999999995</v>
      </c>
      <c r="W40" s="761">
        <f>W24-W39</f>
        <v>2804.568680000004</v>
      </c>
      <c r="X40" s="763">
        <f>X24-X39</f>
        <v>0</v>
      </c>
      <c r="Y40" s="763">
        <f>Y24-Y39</f>
        <v>0</v>
      </c>
      <c r="Z40" s="763">
        <f>Z24-Z39</f>
        <v>0</v>
      </c>
      <c r="AA40" s="762">
        <f>AA24-AA39</f>
        <v>0</v>
      </c>
      <c r="AB40" s="762">
        <f>AB24-AB39</f>
        <v>0</v>
      </c>
      <c r="AC40" s="761">
        <f>AC24-AC39</f>
        <v>0</v>
      </c>
      <c r="AD40" s="289" t="e">
        <f>(AC40/Q40)</f>
        <v>#DIV/0!</v>
      </c>
      <c r="AE40" s="4"/>
      <c r="AF40" s="4"/>
    </row>
    <row r="41" spans="1:32" ht="15.75" thickBot="1" x14ac:dyDescent="0.3">
      <c r="A41" s="4"/>
      <c r="B41" s="760" t="s">
        <v>50</v>
      </c>
      <c r="C41" s="759" t="s">
        <v>65</v>
      </c>
      <c r="D41" s="755"/>
      <c r="E41" s="754"/>
      <c r="F41" s="754"/>
      <c r="G41" s="758"/>
      <c r="H41" s="757"/>
      <c r="I41" s="757"/>
      <c r="J41" s="756"/>
      <c r="K41" s="751">
        <f>K40-D16</f>
        <v>-5612.2381100000084</v>
      </c>
      <c r="L41" s="755"/>
      <c r="M41" s="754"/>
      <c r="N41" s="754"/>
      <c r="O41" s="753"/>
      <c r="P41" s="752"/>
      <c r="Q41" s="751">
        <f>Q40-L16</f>
        <v>-6783.2</v>
      </c>
      <c r="R41" s="755"/>
      <c r="S41" s="754"/>
      <c r="T41" s="754"/>
      <c r="U41" s="753"/>
      <c r="V41" s="752"/>
      <c r="W41" s="751">
        <f>W40-R16</f>
        <v>-245.63131999999587</v>
      </c>
      <c r="X41" s="755"/>
      <c r="Y41" s="754"/>
      <c r="Z41" s="754"/>
      <c r="AA41" s="753"/>
      <c r="AB41" s="752"/>
      <c r="AC41" s="751">
        <f>AC40-X16</f>
        <v>-7000</v>
      </c>
      <c r="AD41" s="280">
        <f>(AC41/Q41)</f>
        <v>1.0319613161929473</v>
      </c>
      <c r="AE41" s="4"/>
      <c r="AF41" s="4"/>
    </row>
    <row r="42" spans="1:32" ht="8.25" customHeight="1" thickBot="1" x14ac:dyDescent="0.3">
      <c r="A42" s="4"/>
      <c r="B42" s="741"/>
      <c r="C42" s="727"/>
      <c r="D42" s="750"/>
      <c r="E42" s="726"/>
      <c r="F42" s="726"/>
      <c r="G42" s="465"/>
      <c r="H42" s="465"/>
      <c r="I42" s="465"/>
      <c r="J42" s="726"/>
      <c r="K42" s="726"/>
      <c r="L42" s="750"/>
      <c r="M42" s="726"/>
      <c r="N42" s="726"/>
      <c r="O42" s="465"/>
      <c r="P42" s="726"/>
      <c r="Q42" s="726"/>
      <c r="R42" s="726"/>
      <c r="S42" s="726"/>
      <c r="T42" s="726"/>
      <c r="U42" s="726"/>
      <c r="V42" s="726"/>
      <c r="W42" s="726"/>
      <c r="X42" s="465"/>
      <c r="Y42" s="465"/>
      <c r="Z42" s="465"/>
      <c r="AA42" s="465"/>
      <c r="AB42" s="465"/>
      <c r="AC42" s="465"/>
      <c r="AD42" s="4"/>
      <c r="AE42" s="4"/>
      <c r="AF42" s="4"/>
    </row>
    <row r="43" spans="1:32" ht="15.75" customHeight="1" thickBot="1" x14ac:dyDescent="0.3">
      <c r="A43" s="4"/>
      <c r="B43" s="741"/>
      <c r="C43" s="740" t="s">
        <v>82</v>
      </c>
      <c r="D43" s="749" t="s">
        <v>41</v>
      </c>
      <c r="E43" s="748" t="s">
        <v>83</v>
      </c>
      <c r="F43" s="747" t="s">
        <v>36</v>
      </c>
      <c r="G43" s="726"/>
      <c r="H43" s="726"/>
      <c r="I43" s="726"/>
      <c r="J43" s="726"/>
      <c r="K43" s="725"/>
      <c r="L43" s="749" t="s">
        <v>41</v>
      </c>
      <c r="M43" s="748" t="s">
        <v>83</v>
      </c>
      <c r="N43" s="747" t="s">
        <v>36</v>
      </c>
      <c r="O43" s="726"/>
      <c r="P43" s="726"/>
      <c r="Q43" s="726"/>
      <c r="R43" s="749" t="s">
        <v>41</v>
      </c>
      <c r="S43" s="748" t="s">
        <v>83</v>
      </c>
      <c r="T43" s="747" t="s">
        <v>36</v>
      </c>
      <c r="U43" s="465"/>
      <c r="V43" s="465"/>
      <c r="W43" s="465"/>
      <c r="X43" s="749" t="s">
        <v>41</v>
      </c>
      <c r="Y43" s="748" t="s">
        <v>83</v>
      </c>
      <c r="Z43" s="747" t="s">
        <v>36</v>
      </c>
      <c r="AA43" s="465"/>
      <c r="AB43" s="465"/>
      <c r="AC43" s="465"/>
      <c r="AD43" s="4"/>
      <c r="AE43" s="4"/>
      <c r="AF43" s="4"/>
    </row>
    <row r="44" spans="1:32" ht="15.75" thickBot="1" x14ac:dyDescent="0.3">
      <c r="A44" s="4"/>
      <c r="B44" s="741"/>
      <c r="C44" s="746"/>
      <c r="D44" s="733">
        <f>SUM(E44:F44)</f>
        <v>642.1</v>
      </c>
      <c r="E44" s="744">
        <v>642.1</v>
      </c>
      <c r="F44" s="743"/>
      <c r="G44" s="726"/>
      <c r="H44" s="726"/>
      <c r="I44" s="726"/>
      <c r="J44" s="726"/>
      <c r="K44" s="725"/>
      <c r="L44" s="733">
        <v>642.1</v>
      </c>
      <c r="M44" s="744">
        <v>642.1</v>
      </c>
      <c r="N44" s="743">
        <v>0</v>
      </c>
      <c r="O44" s="742"/>
      <c r="P44" s="742"/>
      <c r="Q44" s="742"/>
      <c r="R44" s="733">
        <v>321</v>
      </c>
      <c r="S44" s="744">
        <v>321</v>
      </c>
      <c r="T44" s="743">
        <v>0</v>
      </c>
      <c r="U44" s="465"/>
      <c r="V44" s="465"/>
      <c r="W44" s="465"/>
      <c r="X44" s="745">
        <v>642.1</v>
      </c>
      <c r="Y44" s="744">
        <v>642.1</v>
      </c>
      <c r="Z44" s="743">
        <v>0</v>
      </c>
      <c r="AA44" s="465"/>
      <c r="AB44" s="465"/>
      <c r="AC44" s="465"/>
      <c r="AD44" s="4"/>
      <c r="AE44" s="4"/>
      <c r="AF44" s="4"/>
    </row>
    <row r="45" spans="1:32" ht="8.25" customHeight="1" thickBot="1" x14ac:dyDescent="0.3">
      <c r="A45" s="4"/>
      <c r="B45" s="741"/>
      <c r="C45" s="727"/>
      <c r="D45" s="742"/>
      <c r="E45" s="726"/>
      <c r="F45" s="726"/>
      <c r="G45" s="726"/>
      <c r="H45" s="726"/>
      <c r="I45" s="726"/>
      <c r="J45" s="726"/>
      <c r="K45" s="725"/>
      <c r="L45" s="726"/>
      <c r="M45" s="726"/>
      <c r="N45" s="726"/>
      <c r="O45" s="726"/>
      <c r="P45" s="726"/>
      <c r="Q45" s="725"/>
      <c r="R45" s="725"/>
      <c r="S45" s="725"/>
      <c r="T45" s="725"/>
      <c r="U45" s="725"/>
      <c r="V45" s="725"/>
      <c r="W45" s="725"/>
      <c r="X45" s="465"/>
      <c r="Y45" s="465"/>
      <c r="Z45" s="465"/>
      <c r="AA45" s="465"/>
      <c r="AB45" s="465"/>
      <c r="AC45" s="465"/>
      <c r="AD45" s="4"/>
      <c r="AE45" s="4"/>
      <c r="AF45" s="4"/>
    </row>
    <row r="46" spans="1:32" ht="37.5" customHeight="1" thickBot="1" x14ac:dyDescent="0.3">
      <c r="A46" s="4"/>
      <c r="B46" s="741"/>
      <c r="C46" s="740" t="s">
        <v>85</v>
      </c>
      <c r="D46" s="738" t="s">
        <v>86</v>
      </c>
      <c r="E46" s="737" t="s">
        <v>84</v>
      </c>
      <c r="F46" s="726"/>
      <c r="G46" s="726"/>
      <c r="H46" s="726"/>
      <c r="I46" s="726"/>
      <c r="J46" s="726"/>
      <c r="K46" s="725"/>
      <c r="L46" s="738" t="s">
        <v>86</v>
      </c>
      <c r="M46" s="737" t="s">
        <v>84</v>
      </c>
      <c r="N46" s="739"/>
      <c r="O46" s="739"/>
      <c r="P46" s="465"/>
      <c r="Q46" s="465"/>
      <c r="R46" s="738" t="s">
        <v>86</v>
      </c>
      <c r="S46" s="737" t="s">
        <v>84</v>
      </c>
      <c r="T46" s="465"/>
      <c r="U46" s="465"/>
      <c r="V46" s="465"/>
      <c r="W46" s="465"/>
      <c r="X46" s="738" t="s">
        <v>86</v>
      </c>
      <c r="Y46" s="737" t="s">
        <v>84</v>
      </c>
      <c r="Z46" s="465"/>
      <c r="AA46" s="465"/>
      <c r="AB46" s="465"/>
      <c r="AC46" s="465"/>
      <c r="AD46" s="4"/>
      <c r="AE46" s="4"/>
      <c r="AF46" s="4"/>
    </row>
    <row r="47" spans="1:32" ht="15.75" thickBot="1" x14ac:dyDescent="0.3">
      <c r="A47" s="4"/>
      <c r="B47" s="728"/>
      <c r="C47" s="736"/>
      <c r="D47" s="733">
        <v>0</v>
      </c>
      <c r="E47" s="732">
        <v>0</v>
      </c>
      <c r="F47" s="726"/>
      <c r="G47" s="726"/>
      <c r="H47" s="726"/>
      <c r="I47" s="726"/>
      <c r="J47" s="726"/>
      <c r="K47" s="725"/>
      <c r="L47" s="733">
        <v>0</v>
      </c>
      <c r="M47" s="732">
        <v>0</v>
      </c>
      <c r="N47" s="735"/>
      <c r="O47" s="735"/>
      <c r="P47" s="465"/>
      <c r="Q47" s="465"/>
      <c r="R47" s="733">
        <v>0</v>
      </c>
      <c r="S47" s="732">
        <v>0</v>
      </c>
      <c r="T47" s="465"/>
      <c r="U47" s="465"/>
      <c r="V47" s="465"/>
      <c r="W47" s="734"/>
      <c r="X47" s="733">
        <v>0</v>
      </c>
      <c r="Y47" s="732">
        <v>0</v>
      </c>
      <c r="Z47" s="465"/>
      <c r="AA47" s="465"/>
      <c r="AB47" s="465"/>
      <c r="AC47" s="465"/>
      <c r="AD47" s="4"/>
      <c r="AE47" s="4"/>
      <c r="AF47" s="4"/>
    </row>
    <row r="48" spans="1:32" x14ac:dyDescent="0.25">
      <c r="A48" s="4"/>
      <c r="B48" s="728"/>
      <c r="C48" s="727"/>
      <c r="D48" s="726"/>
      <c r="E48" s="726"/>
      <c r="F48" s="726"/>
      <c r="G48" s="726"/>
      <c r="H48" s="726"/>
      <c r="I48" s="726"/>
      <c r="J48" s="726"/>
      <c r="K48" s="725"/>
      <c r="L48" s="726"/>
      <c r="M48" s="726"/>
      <c r="N48" s="726"/>
      <c r="O48" s="726"/>
      <c r="P48" s="726"/>
      <c r="Q48" s="725"/>
      <c r="R48" s="725"/>
      <c r="S48" s="725"/>
      <c r="T48" s="725"/>
      <c r="U48" s="725"/>
      <c r="V48" s="725"/>
      <c r="W48" s="725"/>
      <c r="X48" s="465"/>
      <c r="Y48" s="465"/>
      <c r="Z48" s="465"/>
      <c r="AA48" s="465"/>
      <c r="AB48" s="465"/>
      <c r="AC48" s="465"/>
      <c r="AD48" s="4"/>
      <c r="AE48" s="4"/>
      <c r="AF48" s="4"/>
    </row>
    <row r="49" spans="1:32" x14ac:dyDescent="0.25">
      <c r="A49" s="4"/>
      <c r="B49" s="728"/>
      <c r="C49" s="729" t="s">
        <v>81</v>
      </c>
      <c r="D49" s="506" t="s">
        <v>72</v>
      </c>
      <c r="E49" s="506" t="s">
        <v>73</v>
      </c>
      <c r="F49" s="506" t="s">
        <v>91</v>
      </c>
      <c r="G49" s="506" t="s">
        <v>93</v>
      </c>
      <c r="H49" s="726"/>
      <c r="I49" s="726"/>
      <c r="J49" s="726"/>
      <c r="K49" s="465"/>
      <c r="L49" s="506" t="s">
        <v>72</v>
      </c>
      <c r="M49" s="506" t="s">
        <v>73</v>
      </c>
      <c r="N49" s="506" t="s">
        <v>91</v>
      </c>
      <c r="O49" s="506" t="s">
        <v>94</v>
      </c>
      <c r="P49" s="465"/>
      <c r="Q49" s="465"/>
      <c r="R49" s="506" t="s">
        <v>72</v>
      </c>
      <c r="S49" s="506" t="s">
        <v>73</v>
      </c>
      <c r="T49" s="506" t="s">
        <v>91</v>
      </c>
      <c r="U49" s="506" t="s">
        <v>228</v>
      </c>
      <c r="V49" s="465"/>
      <c r="W49" s="465"/>
      <c r="X49" s="506" t="s">
        <v>95</v>
      </c>
      <c r="Y49" s="506" t="s">
        <v>73</v>
      </c>
      <c r="Z49" s="506" t="s">
        <v>91</v>
      </c>
      <c r="AA49" s="506" t="s">
        <v>94</v>
      </c>
      <c r="AB49" s="465"/>
      <c r="AC49" s="465"/>
      <c r="AD49" s="4"/>
      <c r="AE49" s="4"/>
      <c r="AF49" s="4"/>
    </row>
    <row r="50" spans="1:32" x14ac:dyDescent="0.25">
      <c r="A50" s="4"/>
      <c r="B50" s="728"/>
      <c r="C50" s="264" t="s">
        <v>117</v>
      </c>
      <c r="D50" s="512">
        <f>SUM(D51:D54)</f>
        <v>2234.1999999999998</v>
      </c>
      <c r="E50" s="512">
        <f>SUM(E51:E54)</f>
        <v>6696.1</v>
      </c>
      <c r="F50" s="512">
        <f>SUM(F51:F54)</f>
        <v>2234</v>
      </c>
      <c r="G50" s="511">
        <f>D50+E50-F50</f>
        <v>6696.2999999999993</v>
      </c>
      <c r="H50" s="726"/>
      <c r="I50" s="726"/>
      <c r="J50" s="726"/>
      <c r="K50" s="465"/>
      <c r="L50" s="512">
        <f>SUM(L51:L54)</f>
        <v>2785.7999999999997</v>
      </c>
      <c r="M50" s="512">
        <f>SUM(M51:M54)</f>
        <v>1362</v>
      </c>
      <c r="N50" s="512">
        <f>SUM(N51:N54)</f>
        <v>1765.6999999999998</v>
      </c>
      <c r="O50" s="512">
        <f>SUM(O51:O54)</f>
        <v>2382.1000000000004</v>
      </c>
      <c r="P50" s="465"/>
      <c r="Q50" s="465"/>
      <c r="R50" s="512">
        <f>SUM(R51:R54)</f>
        <v>6696.3</v>
      </c>
      <c r="S50" s="512">
        <f>SUM(S51:S54)</f>
        <v>830.1</v>
      </c>
      <c r="T50" s="512">
        <f>SUM(T51:T54)</f>
        <v>4939.3</v>
      </c>
      <c r="U50" s="511">
        <f>R50+S50-T50</f>
        <v>2587.1000000000004</v>
      </c>
      <c r="V50" s="465"/>
      <c r="W50" s="465"/>
      <c r="X50" s="512">
        <f>SUM(X51:X54)</f>
        <v>2819.8</v>
      </c>
      <c r="Y50" s="512">
        <f>SUM(Y51:Y54)</f>
        <v>1671</v>
      </c>
      <c r="Z50" s="512">
        <f>SUM(Z51:Z54)</f>
        <v>805</v>
      </c>
      <c r="AA50" s="511">
        <f>X50+Y50-Z50</f>
        <v>3685.8</v>
      </c>
      <c r="AB50" s="465"/>
      <c r="AC50" s="465"/>
      <c r="AD50" s="4"/>
      <c r="AE50" s="4"/>
      <c r="AF50" s="4"/>
    </row>
    <row r="51" spans="1:32" x14ac:dyDescent="0.25">
      <c r="A51" s="4"/>
      <c r="B51" s="728"/>
      <c r="C51" s="731" t="s">
        <v>70</v>
      </c>
      <c r="D51" s="512">
        <v>1075.5999999999999</v>
      </c>
      <c r="E51" s="512">
        <v>5006.6000000000004</v>
      </c>
      <c r="F51" s="512">
        <v>420.6</v>
      </c>
      <c r="G51" s="511">
        <f>D51+E51-F51</f>
        <v>5661.6</v>
      </c>
      <c r="H51" s="726"/>
      <c r="I51" s="726"/>
      <c r="J51" s="726"/>
      <c r="K51" s="465"/>
      <c r="L51" s="512">
        <v>1145.5999999999999</v>
      </c>
      <c r="M51" s="512">
        <v>50</v>
      </c>
      <c r="N51" s="512">
        <v>770.8</v>
      </c>
      <c r="O51" s="511">
        <f>L51+M51-N51</f>
        <v>424.79999999999995</v>
      </c>
      <c r="P51" s="465"/>
      <c r="Q51" s="465"/>
      <c r="R51" s="512">
        <f>G51</f>
        <v>5661.6</v>
      </c>
      <c r="S51" s="512">
        <v>154.19999999999999</v>
      </c>
      <c r="T51" s="512">
        <v>4276</v>
      </c>
      <c r="U51" s="511">
        <f>R51+S51-T51</f>
        <v>1539.8000000000002</v>
      </c>
      <c r="V51" s="465"/>
      <c r="W51" s="465"/>
      <c r="X51" s="512">
        <v>1539.8</v>
      </c>
      <c r="Y51" s="512">
        <v>300</v>
      </c>
      <c r="Z51" s="730">
        <v>400</v>
      </c>
      <c r="AA51" s="511">
        <f>X51+Y51-Z51</f>
        <v>1439.8</v>
      </c>
      <c r="AB51" s="465"/>
      <c r="AC51" s="465"/>
      <c r="AD51" s="4"/>
      <c r="AE51" s="4"/>
      <c r="AF51" s="4"/>
    </row>
    <row r="52" spans="1:32" x14ac:dyDescent="0.25">
      <c r="A52" s="4"/>
      <c r="B52" s="728"/>
      <c r="C52" s="264" t="s">
        <v>71</v>
      </c>
      <c r="D52" s="512">
        <v>294</v>
      </c>
      <c r="E52" s="512">
        <v>1004.3</v>
      </c>
      <c r="F52" s="512">
        <v>759.2</v>
      </c>
      <c r="G52" s="511">
        <f>D52+E52-F52</f>
        <v>539.09999999999991</v>
      </c>
      <c r="H52" s="726"/>
      <c r="I52" s="726"/>
      <c r="J52" s="726"/>
      <c r="K52" s="465"/>
      <c r="L52" s="512">
        <v>631.89999999999975</v>
      </c>
      <c r="M52" s="512">
        <v>947.8</v>
      </c>
      <c r="N52" s="512">
        <v>639.9</v>
      </c>
      <c r="O52" s="511">
        <f>L52+M52-N52</f>
        <v>939.79999999999984</v>
      </c>
      <c r="P52" s="465"/>
      <c r="Q52" s="465"/>
      <c r="R52" s="512">
        <f>G52</f>
        <v>539.09999999999991</v>
      </c>
      <c r="S52" s="512">
        <v>482.7</v>
      </c>
      <c r="T52" s="512">
        <v>467.6</v>
      </c>
      <c r="U52" s="511">
        <f>R52+S52-T52</f>
        <v>554.19999999999993</v>
      </c>
      <c r="V52" s="465"/>
      <c r="W52" s="465"/>
      <c r="X52" s="512">
        <v>1000</v>
      </c>
      <c r="Y52" s="730">
        <v>996</v>
      </c>
      <c r="Z52" s="730">
        <v>100</v>
      </c>
      <c r="AA52" s="511">
        <f>X52+Y52-Z52</f>
        <v>1896</v>
      </c>
      <c r="AB52" s="465"/>
      <c r="AC52" s="465"/>
      <c r="AD52" s="4"/>
      <c r="AE52" s="4"/>
      <c r="AF52" s="4"/>
    </row>
    <row r="53" spans="1:32" x14ac:dyDescent="0.25">
      <c r="A53" s="4"/>
      <c r="B53" s="728"/>
      <c r="C53" s="264" t="s">
        <v>88</v>
      </c>
      <c r="D53" s="512">
        <v>173.9</v>
      </c>
      <c r="E53" s="512">
        <v>3.8</v>
      </c>
      <c r="F53" s="512">
        <v>0</v>
      </c>
      <c r="G53" s="511">
        <f>D53+E53-F53</f>
        <v>177.70000000000002</v>
      </c>
      <c r="H53" s="726"/>
      <c r="I53" s="726"/>
      <c r="J53" s="726"/>
      <c r="K53" s="465"/>
      <c r="L53" s="512">
        <v>175.9</v>
      </c>
      <c r="M53" s="512">
        <v>5</v>
      </c>
      <c r="N53" s="512">
        <v>5</v>
      </c>
      <c r="O53" s="511">
        <f>L53+M53-N53</f>
        <v>175.9</v>
      </c>
      <c r="P53" s="465"/>
      <c r="Q53" s="465"/>
      <c r="R53" s="512">
        <f>G53</f>
        <v>177.70000000000002</v>
      </c>
      <c r="S53" s="512">
        <v>27.1</v>
      </c>
      <c r="T53" s="512">
        <v>0</v>
      </c>
      <c r="U53" s="511">
        <f>R53+S53-T53</f>
        <v>204.8</v>
      </c>
      <c r="V53" s="465"/>
      <c r="W53" s="465"/>
      <c r="X53" s="512">
        <v>200</v>
      </c>
      <c r="Y53" s="512">
        <v>25</v>
      </c>
      <c r="Z53" s="512">
        <v>5</v>
      </c>
      <c r="AA53" s="511">
        <f>X53+Y53-Z53</f>
        <v>220</v>
      </c>
      <c r="AB53" s="465"/>
      <c r="AC53" s="465"/>
      <c r="AD53" s="4"/>
      <c r="AE53" s="4"/>
      <c r="AF53" s="4"/>
    </row>
    <row r="54" spans="1:32" x14ac:dyDescent="0.25">
      <c r="A54" s="4"/>
      <c r="B54" s="728"/>
      <c r="C54" s="264" t="s">
        <v>89</v>
      </c>
      <c r="D54" s="512">
        <v>690.7</v>
      </c>
      <c r="E54" s="512">
        <v>681.4</v>
      </c>
      <c r="F54" s="512">
        <v>1054.2</v>
      </c>
      <c r="G54" s="511">
        <f>D54+E54-F54</f>
        <v>317.89999999999986</v>
      </c>
      <c r="H54" s="726"/>
      <c r="I54" s="726"/>
      <c r="J54" s="726"/>
      <c r="K54" s="465"/>
      <c r="L54" s="512">
        <v>832.40000000000009</v>
      </c>
      <c r="M54" s="512">
        <v>359.2</v>
      </c>
      <c r="N54" s="512">
        <v>350</v>
      </c>
      <c r="O54" s="511">
        <f>L54+M54-N54</f>
        <v>841.60000000000014</v>
      </c>
      <c r="P54" s="465"/>
      <c r="Q54" s="465"/>
      <c r="R54" s="512">
        <f>G54</f>
        <v>317.89999999999986</v>
      </c>
      <c r="S54" s="512">
        <v>166.1</v>
      </c>
      <c r="T54" s="512">
        <v>195.7</v>
      </c>
      <c r="U54" s="511">
        <f>R54+S54-T54</f>
        <v>288.2999999999999</v>
      </c>
      <c r="V54" s="465"/>
      <c r="W54" s="465"/>
      <c r="X54" s="512">
        <v>80</v>
      </c>
      <c r="Y54" s="512">
        <v>350</v>
      </c>
      <c r="Z54" s="512">
        <v>300</v>
      </c>
      <c r="AA54" s="511">
        <f>X54+Y54-Z54</f>
        <v>130</v>
      </c>
      <c r="AB54" s="465"/>
      <c r="AC54" s="465"/>
      <c r="AD54" s="4"/>
      <c r="AE54" s="4"/>
      <c r="AF54" s="4"/>
    </row>
    <row r="55" spans="1:32" ht="10.5" customHeight="1" x14ac:dyDescent="0.25">
      <c r="A55" s="4"/>
      <c r="B55" s="728"/>
      <c r="C55" s="727"/>
      <c r="D55" s="726"/>
      <c r="E55" s="726"/>
      <c r="F55" s="726"/>
      <c r="G55" s="726"/>
      <c r="H55" s="726"/>
      <c r="I55" s="726"/>
      <c r="J55" s="726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"/>
      <c r="AE55" s="4"/>
      <c r="AF55" s="4"/>
    </row>
    <row r="56" spans="1:32" x14ac:dyDescent="0.25">
      <c r="A56" s="4"/>
      <c r="B56" s="728"/>
      <c r="C56" s="729" t="s">
        <v>74</v>
      </c>
      <c r="D56" s="506" t="s">
        <v>75</v>
      </c>
      <c r="E56" s="506" t="s">
        <v>96</v>
      </c>
      <c r="F56" s="726"/>
      <c r="G56" s="726"/>
      <c r="H56" s="726"/>
      <c r="I56" s="726"/>
      <c r="J56" s="726"/>
      <c r="K56" s="725"/>
      <c r="L56" s="506" t="s">
        <v>97</v>
      </c>
      <c r="M56" s="726"/>
      <c r="N56" s="726"/>
      <c r="O56" s="726"/>
      <c r="P56" s="726"/>
      <c r="Q56" s="725"/>
      <c r="R56" s="506" t="s">
        <v>98</v>
      </c>
      <c r="S56" s="725"/>
      <c r="T56" s="725"/>
      <c r="U56" s="725"/>
      <c r="V56" s="725"/>
      <c r="W56" s="725"/>
      <c r="X56" s="506" t="s">
        <v>97</v>
      </c>
      <c r="Y56" s="465"/>
      <c r="Z56" s="465"/>
      <c r="AA56" s="465"/>
      <c r="AB56" s="465"/>
      <c r="AC56" s="465"/>
      <c r="AD56" s="4"/>
      <c r="AE56" s="4"/>
      <c r="AF56" s="4"/>
    </row>
    <row r="57" spans="1:32" x14ac:dyDescent="0.25">
      <c r="A57" s="4"/>
      <c r="B57" s="728"/>
      <c r="C57" s="264"/>
      <c r="D57" s="504">
        <v>66.900000000000006</v>
      </c>
      <c r="E57" s="504">
        <v>68.84</v>
      </c>
      <c r="F57" s="726"/>
      <c r="G57" s="726"/>
      <c r="H57" s="726"/>
      <c r="I57" s="726"/>
      <c r="J57" s="726"/>
      <c r="K57" s="725"/>
      <c r="L57" s="504">
        <v>68.900000000000006</v>
      </c>
      <c r="M57" s="726"/>
      <c r="N57" s="726"/>
      <c r="O57" s="726"/>
      <c r="P57" s="726"/>
      <c r="Q57" s="725"/>
      <c r="R57" s="504">
        <v>70.680000000000007</v>
      </c>
      <c r="S57" s="725"/>
      <c r="T57" s="725"/>
      <c r="U57" s="725"/>
      <c r="V57" s="725"/>
      <c r="W57" s="725"/>
      <c r="X57" s="504">
        <v>70.7</v>
      </c>
      <c r="Y57" s="465"/>
      <c r="Z57" s="465"/>
      <c r="AA57" s="465"/>
      <c r="AB57" s="465"/>
      <c r="AC57" s="465"/>
      <c r="AD57" s="4"/>
      <c r="AE57" s="4"/>
      <c r="AF57" s="4"/>
    </row>
    <row r="58" spans="1:32" x14ac:dyDescent="0.25">
      <c r="A58" s="4"/>
      <c r="B58" s="728"/>
      <c r="C58" s="727"/>
      <c r="D58" s="726"/>
      <c r="E58" s="726"/>
      <c r="F58" s="726"/>
      <c r="G58" s="726"/>
      <c r="H58" s="726"/>
      <c r="I58" s="726"/>
      <c r="J58" s="726"/>
      <c r="K58" s="725"/>
      <c r="L58" s="726"/>
      <c r="M58" s="726"/>
      <c r="N58" s="726"/>
      <c r="O58" s="726"/>
      <c r="P58" s="726"/>
      <c r="Q58" s="725"/>
      <c r="R58" s="725"/>
      <c r="S58" s="725"/>
      <c r="T58" s="725"/>
      <c r="U58" s="725"/>
      <c r="V58" s="725"/>
      <c r="W58" s="725"/>
      <c r="X58" s="465"/>
      <c r="Y58" s="465"/>
      <c r="Z58" s="465"/>
      <c r="AA58" s="465"/>
      <c r="AB58" s="465"/>
      <c r="AC58" s="465"/>
      <c r="AD58" s="4"/>
      <c r="AE58" s="4"/>
      <c r="AF58" s="4"/>
    </row>
    <row r="59" spans="1:32" ht="18.75" x14ac:dyDescent="0.3">
      <c r="A59" s="4"/>
      <c r="B59" s="724" t="s">
        <v>92</v>
      </c>
      <c r="C59" s="723"/>
      <c r="D59" s="722"/>
      <c r="E59" s="722"/>
      <c r="F59" s="722"/>
      <c r="G59" s="722"/>
      <c r="H59" s="722"/>
      <c r="I59" s="722"/>
      <c r="J59" s="722"/>
      <c r="K59" s="722"/>
      <c r="L59" s="722"/>
      <c r="M59" s="722"/>
      <c r="N59" s="722"/>
      <c r="O59" s="722"/>
      <c r="P59" s="722"/>
      <c r="Q59" s="722"/>
      <c r="R59" s="722"/>
      <c r="S59" s="722"/>
      <c r="T59" s="722"/>
      <c r="U59" s="722"/>
      <c r="V59" s="722"/>
      <c r="W59" s="722"/>
      <c r="X59" s="721"/>
      <c r="Y59" s="251"/>
      <c r="Z59" s="251"/>
      <c r="AA59" s="251"/>
      <c r="AB59" s="251"/>
      <c r="AC59" s="251"/>
      <c r="AD59" s="250"/>
      <c r="AE59" s="4"/>
      <c r="AF59" s="4"/>
    </row>
    <row r="60" spans="1:32" ht="18.75" x14ac:dyDescent="0.3">
      <c r="A60" s="4"/>
      <c r="B60" s="720" t="s">
        <v>227</v>
      </c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0"/>
      <c r="AD60" s="240"/>
      <c r="AE60" s="4"/>
      <c r="AF60" s="4"/>
    </row>
    <row r="61" spans="1:32" ht="18.75" x14ac:dyDescent="0.3">
      <c r="A61" s="4"/>
      <c r="B61" s="709"/>
      <c r="C61" s="716"/>
      <c r="D61" s="716"/>
      <c r="E61" s="716"/>
      <c r="F61" s="716"/>
      <c r="G61" s="716"/>
      <c r="H61" s="716"/>
      <c r="I61" s="716"/>
      <c r="J61" s="716"/>
      <c r="K61" s="716"/>
      <c r="L61" s="716"/>
      <c r="M61" s="716"/>
      <c r="N61" s="716"/>
      <c r="O61" s="717"/>
      <c r="P61" s="716"/>
      <c r="Q61" s="716"/>
      <c r="R61" s="716"/>
      <c r="S61" s="716"/>
      <c r="T61" s="716"/>
      <c r="U61" s="716"/>
      <c r="V61" s="716"/>
      <c r="W61" s="716"/>
      <c r="X61" s="710"/>
      <c r="AD61" s="240"/>
      <c r="AE61" s="4"/>
      <c r="AF61" s="4"/>
    </row>
    <row r="62" spans="1:32" ht="18.75" x14ac:dyDescent="0.3">
      <c r="A62" s="4"/>
      <c r="B62" s="718" t="s">
        <v>226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7"/>
      <c r="P62" s="716"/>
      <c r="Q62" s="716"/>
      <c r="R62" s="716"/>
      <c r="S62" s="716"/>
      <c r="T62" s="716"/>
      <c r="U62" s="716"/>
      <c r="V62" s="716"/>
      <c r="W62" s="716"/>
      <c r="AD62" s="240"/>
      <c r="AE62" s="4"/>
      <c r="AF62" s="4"/>
    </row>
    <row r="63" spans="1:32" ht="18.75" x14ac:dyDescent="0.3">
      <c r="A63" s="4"/>
      <c r="B63" s="718" t="s">
        <v>225</v>
      </c>
      <c r="C63" s="716"/>
      <c r="D63" s="716"/>
      <c r="E63" s="716"/>
      <c r="F63" s="716"/>
      <c r="G63" s="716"/>
      <c r="H63" s="716"/>
      <c r="I63" s="716"/>
      <c r="J63" s="716"/>
      <c r="K63" s="716"/>
      <c r="L63" s="716"/>
      <c r="M63" s="716"/>
      <c r="N63" s="716"/>
      <c r="O63" s="717"/>
      <c r="P63" s="716"/>
      <c r="Q63" s="716"/>
      <c r="R63" s="716"/>
      <c r="S63" s="716"/>
      <c r="T63" s="716"/>
      <c r="U63" s="716"/>
      <c r="V63" s="716"/>
      <c r="W63" s="716"/>
      <c r="AD63" s="240"/>
      <c r="AE63" s="4"/>
      <c r="AF63" s="4"/>
    </row>
    <row r="64" spans="1:32" ht="18.75" x14ac:dyDescent="0.3">
      <c r="A64" s="4"/>
      <c r="B64" s="718"/>
      <c r="C64" s="716"/>
      <c r="D64" s="716"/>
      <c r="E64" s="716"/>
      <c r="F64" s="716"/>
      <c r="G64" s="716"/>
      <c r="H64" s="716"/>
      <c r="I64" s="716"/>
      <c r="J64" s="716"/>
      <c r="K64" s="716"/>
      <c r="L64" s="716"/>
      <c r="M64" s="716"/>
      <c r="N64" s="716"/>
      <c r="O64" s="717"/>
      <c r="P64" s="716"/>
      <c r="Q64" s="716"/>
      <c r="R64" s="716"/>
      <c r="S64" s="716"/>
      <c r="T64" s="716"/>
      <c r="U64" s="716"/>
      <c r="V64" s="716"/>
      <c r="W64" s="716"/>
      <c r="AD64" s="240"/>
      <c r="AE64" s="4"/>
      <c r="AF64" s="4"/>
    </row>
    <row r="65" spans="1:32" ht="18.75" x14ac:dyDescent="0.3">
      <c r="A65" s="4"/>
      <c r="B65" s="699" t="s">
        <v>224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7"/>
      <c r="P65" s="716"/>
      <c r="Q65" s="716"/>
      <c r="R65" s="716"/>
      <c r="S65" s="716"/>
      <c r="T65" s="716"/>
      <c r="U65" s="716"/>
      <c r="V65" s="716"/>
      <c r="W65" s="716"/>
      <c r="AD65" s="240"/>
      <c r="AE65" s="4"/>
      <c r="AF65" s="4"/>
    </row>
    <row r="66" spans="1:32" ht="18.75" x14ac:dyDescent="0.3">
      <c r="A66" s="4"/>
      <c r="B66" s="718" t="s">
        <v>223</v>
      </c>
      <c r="C66" s="716"/>
      <c r="D66" s="716"/>
      <c r="E66" s="716"/>
      <c r="F66" s="716"/>
      <c r="G66" s="716"/>
      <c r="H66" s="716"/>
      <c r="I66" s="716"/>
      <c r="J66" s="716"/>
      <c r="K66" s="716"/>
      <c r="L66" s="716"/>
      <c r="M66" s="716"/>
      <c r="N66" s="716"/>
      <c r="O66" s="717"/>
      <c r="P66" s="716"/>
      <c r="Q66" s="716"/>
      <c r="R66" s="716"/>
      <c r="S66" s="716"/>
      <c r="T66" s="716"/>
      <c r="U66" s="716"/>
      <c r="V66" s="716"/>
      <c r="W66" s="716"/>
      <c r="AD66" s="240"/>
      <c r="AE66" s="4"/>
      <c r="AF66" s="4"/>
    </row>
    <row r="67" spans="1:32" ht="18.75" x14ac:dyDescent="0.3">
      <c r="A67" s="4"/>
      <c r="B67" s="718" t="s">
        <v>222</v>
      </c>
      <c r="C67" s="716"/>
      <c r="D67" s="716"/>
      <c r="E67" s="716"/>
      <c r="F67" s="716"/>
      <c r="G67" s="716"/>
      <c r="H67" s="716"/>
      <c r="I67" s="716"/>
      <c r="J67" s="716"/>
      <c r="K67" s="716"/>
      <c r="L67" s="716"/>
      <c r="M67" s="716"/>
      <c r="N67" s="716"/>
      <c r="O67" s="717"/>
      <c r="P67" s="716"/>
      <c r="Q67" s="716"/>
      <c r="R67" s="716"/>
      <c r="S67" s="716"/>
      <c r="T67" s="716"/>
      <c r="U67" s="716"/>
      <c r="V67" s="716"/>
      <c r="W67" s="716"/>
      <c r="X67" s="710"/>
      <c r="AD67" s="240"/>
      <c r="AE67" s="4"/>
      <c r="AF67" s="4"/>
    </row>
    <row r="68" spans="1:32" ht="18.75" x14ac:dyDescent="0.3">
      <c r="A68" s="4"/>
      <c r="B68" s="718"/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7"/>
      <c r="P68" s="716"/>
      <c r="Q68" s="716"/>
      <c r="R68" s="716"/>
      <c r="S68" s="716"/>
      <c r="T68" s="716"/>
      <c r="U68" s="716"/>
      <c r="V68" s="716"/>
      <c r="W68" s="716"/>
      <c r="X68" s="710"/>
      <c r="AD68" s="240"/>
      <c r="AE68" s="4"/>
      <c r="AF68" s="4"/>
    </row>
    <row r="69" spans="1:32" ht="18.75" x14ac:dyDescent="0.3">
      <c r="A69" s="4"/>
      <c r="T69" s="716"/>
      <c r="U69" s="716"/>
      <c r="V69" s="716"/>
      <c r="W69" s="716"/>
      <c r="X69" s="710"/>
      <c r="AD69" s="240"/>
      <c r="AE69" s="4"/>
      <c r="AF69" s="4"/>
    </row>
    <row r="70" spans="1:32" ht="18.75" x14ac:dyDescent="0.3">
      <c r="A70" s="4"/>
      <c r="B70" s="718"/>
      <c r="C70" s="716"/>
      <c r="D70" s="716"/>
      <c r="E70" s="716"/>
      <c r="F70" s="716"/>
      <c r="G70" s="716"/>
      <c r="H70" s="716"/>
      <c r="I70" s="716"/>
      <c r="J70" s="716"/>
      <c r="K70" s="716"/>
      <c r="L70" s="716"/>
      <c r="M70" s="716"/>
      <c r="N70" s="716"/>
      <c r="O70" s="717"/>
      <c r="P70" s="716"/>
      <c r="Q70" s="716"/>
      <c r="R70" s="716"/>
      <c r="S70" s="716"/>
      <c r="T70" s="716"/>
      <c r="U70" s="716"/>
      <c r="V70" s="716"/>
      <c r="W70" s="716"/>
      <c r="X70" s="710"/>
      <c r="AD70" s="240"/>
      <c r="AE70" s="4"/>
      <c r="AF70" s="4"/>
    </row>
    <row r="71" spans="1:32" ht="18.75" x14ac:dyDescent="0.3">
      <c r="A71" s="4"/>
      <c r="B71" s="715" t="s">
        <v>221</v>
      </c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  <c r="N71" s="714"/>
      <c r="O71" s="714"/>
      <c r="P71" s="714"/>
      <c r="Q71" s="714"/>
      <c r="R71" s="714"/>
      <c r="S71" s="714"/>
      <c r="T71" s="714"/>
      <c r="U71" s="714"/>
      <c r="V71" s="714"/>
      <c r="W71" s="714"/>
      <c r="X71" s="710"/>
      <c r="AD71" s="240"/>
      <c r="AE71" s="4"/>
      <c r="AF71" s="4"/>
    </row>
    <row r="72" spans="1:32" ht="18.75" x14ac:dyDescent="0.3">
      <c r="A72" s="4"/>
      <c r="B72" s="713" t="s">
        <v>220</v>
      </c>
      <c r="C72" s="712"/>
      <c r="D72" s="712"/>
      <c r="E72" s="712"/>
      <c r="F72" s="712"/>
      <c r="G72" s="712"/>
      <c r="H72" s="712"/>
      <c r="I72" s="712"/>
      <c r="J72" s="712"/>
      <c r="K72" s="712"/>
      <c r="L72" s="712"/>
      <c r="M72" s="712"/>
      <c r="N72" s="712"/>
      <c r="O72" s="712"/>
      <c r="P72" s="712"/>
      <c r="Q72" s="712"/>
      <c r="R72" s="712"/>
      <c r="S72" s="712"/>
      <c r="T72" s="712"/>
      <c r="U72" s="712"/>
      <c r="V72" s="712"/>
      <c r="W72" s="712"/>
      <c r="X72" s="710"/>
      <c r="AD72" s="240"/>
      <c r="AE72" s="4"/>
      <c r="AF72" s="4"/>
    </row>
    <row r="73" spans="1:32" ht="18.75" x14ac:dyDescent="0.3">
      <c r="A73" s="4"/>
      <c r="B73" s="704" t="s">
        <v>219</v>
      </c>
      <c r="C73" s="702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11"/>
      <c r="AD73" s="240"/>
      <c r="AE73" s="4"/>
      <c r="AF73" s="4"/>
    </row>
    <row r="74" spans="1:32" ht="18.75" x14ac:dyDescent="0.3">
      <c r="A74" s="4"/>
      <c r="B74" s="705"/>
      <c r="C74" s="703" t="s">
        <v>218</v>
      </c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10"/>
      <c r="AD74" s="240"/>
      <c r="AE74" s="4"/>
      <c r="AF74" s="4"/>
    </row>
    <row r="75" spans="1:32" ht="18.75" x14ac:dyDescent="0.3">
      <c r="A75" s="4"/>
      <c r="B75" s="704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10"/>
      <c r="AD75" s="240"/>
      <c r="AE75" s="4"/>
      <c r="AF75" s="4"/>
    </row>
    <row r="76" spans="1:32" ht="18.75" x14ac:dyDescent="0.3">
      <c r="A76" s="4"/>
      <c r="B76" s="705" t="s">
        <v>217</v>
      </c>
      <c r="C76" s="702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10"/>
      <c r="AD76" s="240"/>
      <c r="AE76" s="4"/>
      <c r="AF76" s="4"/>
    </row>
    <row r="77" spans="1:32" ht="18.75" x14ac:dyDescent="0.3">
      <c r="A77" s="4"/>
      <c r="B77" s="709"/>
      <c r="C77" s="702" t="s">
        <v>216</v>
      </c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10"/>
      <c r="AD77" s="240"/>
      <c r="AE77" s="4"/>
      <c r="AF77" s="4"/>
    </row>
    <row r="78" spans="1:32" ht="18.75" x14ac:dyDescent="0.3">
      <c r="A78" s="4"/>
      <c r="B78" s="709"/>
      <c r="C78" s="708" t="s">
        <v>215</v>
      </c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2"/>
      <c r="S78" s="702"/>
      <c r="T78" s="702"/>
      <c r="U78" s="702"/>
      <c r="V78" s="702"/>
      <c r="W78" s="702"/>
      <c r="X78" s="710"/>
      <c r="AD78" s="240"/>
      <c r="AE78" s="4"/>
      <c r="AF78" s="4"/>
    </row>
    <row r="79" spans="1:32" ht="18.75" x14ac:dyDescent="0.3">
      <c r="A79" s="4"/>
      <c r="B79" s="709"/>
      <c r="C79" s="708" t="s">
        <v>214</v>
      </c>
      <c r="D79" s="706"/>
      <c r="E79" s="706"/>
      <c r="F79" s="706"/>
      <c r="G79" s="706"/>
      <c r="H79" s="706"/>
      <c r="I79" s="706"/>
      <c r="J79" s="706"/>
      <c r="K79" s="706"/>
      <c r="L79" s="706"/>
      <c r="M79" s="706"/>
      <c r="N79" s="706"/>
      <c r="O79" s="706"/>
      <c r="P79" s="706"/>
      <c r="Q79" s="706"/>
      <c r="R79" s="702"/>
      <c r="S79" s="702"/>
      <c r="T79" s="702"/>
      <c r="U79" s="702"/>
      <c r="V79" s="702"/>
      <c r="W79" s="702"/>
      <c r="AD79" s="240"/>
      <c r="AE79" s="4"/>
      <c r="AF79" s="4"/>
    </row>
    <row r="80" spans="1:32" ht="18.75" x14ac:dyDescent="0.3">
      <c r="A80" s="4"/>
      <c r="B80" s="707"/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6"/>
      <c r="N80" s="706"/>
      <c r="O80" s="706"/>
      <c r="P80" s="706"/>
      <c r="Q80" s="706"/>
      <c r="R80" s="702"/>
      <c r="S80" s="702"/>
      <c r="T80" s="702"/>
      <c r="U80" s="702"/>
      <c r="V80" s="702"/>
      <c r="W80" s="702"/>
      <c r="AD80" s="240"/>
      <c r="AE80" s="4"/>
      <c r="AF80" s="4"/>
    </row>
    <row r="81" spans="1:32" ht="18.75" x14ac:dyDescent="0.3">
      <c r="A81" s="4"/>
      <c r="B81" s="705" t="s">
        <v>213</v>
      </c>
      <c r="C81" s="702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AD81" s="240"/>
      <c r="AE81" s="4"/>
      <c r="AF81" s="4"/>
    </row>
    <row r="82" spans="1:32" ht="18.75" x14ac:dyDescent="0.3">
      <c r="A82" s="4"/>
      <c r="B82" s="704"/>
      <c r="C82" s="703" t="s">
        <v>212</v>
      </c>
      <c r="D82" s="703"/>
      <c r="E82" s="703"/>
      <c r="F82" s="703"/>
      <c r="G82" s="703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AD82" s="240"/>
      <c r="AE82" s="4"/>
      <c r="AF82" s="4"/>
    </row>
    <row r="83" spans="1:32" x14ac:dyDescent="0.25">
      <c r="A83" s="4"/>
      <c r="B83" s="701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696"/>
      <c r="S83" s="696"/>
      <c r="T83" s="696"/>
      <c r="U83" s="696"/>
      <c r="V83" s="696"/>
      <c r="W83" s="696"/>
      <c r="AD83" s="240"/>
      <c r="AE83" s="4"/>
      <c r="AF83" s="4"/>
    </row>
    <row r="84" spans="1:32" ht="18.75" x14ac:dyDescent="0.3">
      <c r="A84" s="4"/>
      <c r="B84" s="699" t="s">
        <v>211</v>
      </c>
      <c r="C84" s="697"/>
      <c r="D84" s="697"/>
      <c r="E84" s="697"/>
      <c r="F84" s="697"/>
      <c r="G84" s="697"/>
      <c r="H84" s="697"/>
      <c r="I84" s="697"/>
      <c r="J84" s="697"/>
      <c r="K84" s="697"/>
      <c r="L84" s="697"/>
      <c r="M84" s="697"/>
      <c r="N84" s="697"/>
      <c r="O84" s="698"/>
      <c r="P84" s="697"/>
      <c r="Q84" s="697"/>
      <c r="R84" s="697"/>
      <c r="S84" s="697"/>
      <c r="T84" s="696"/>
      <c r="U84" s="696"/>
      <c r="V84" s="696"/>
      <c r="W84" s="696"/>
      <c r="AD84" s="240"/>
      <c r="AE84" s="4"/>
      <c r="AF84" s="4"/>
    </row>
    <row r="85" spans="1:32" x14ac:dyDescent="0.25">
      <c r="A85" s="4"/>
      <c r="B85" s="695"/>
      <c r="C85" s="694"/>
      <c r="D85" s="693"/>
      <c r="E85" s="693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241"/>
      <c r="S85" s="241"/>
      <c r="T85" s="241"/>
      <c r="U85" s="241"/>
      <c r="V85" s="241"/>
      <c r="W85" s="241"/>
      <c r="AD85" s="240"/>
      <c r="AE85" s="4"/>
      <c r="AF85" s="4"/>
    </row>
    <row r="86" spans="1:32" x14ac:dyDescent="0.25">
      <c r="A86" s="4"/>
      <c r="B86" s="244"/>
      <c r="C86" s="243"/>
      <c r="D86" s="242"/>
      <c r="E86" s="242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AD86" s="240"/>
      <c r="AE86" s="4"/>
      <c r="AF86" s="4"/>
    </row>
    <row r="87" spans="1:32" x14ac:dyDescent="0.25">
      <c r="A87" s="4"/>
      <c r="B87" s="239"/>
      <c r="C87" s="238"/>
      <c r="D87" s="237"/>
      <c r="E87" s="237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5"/>
      <c r="Y87" s="235"/>
      <c r="Z87" s="235"/>
      <c r="AA87" s="235"/>
      <c r="AB87" s="235"/>
      <c r="AC87" s="235"/>
      <c r="AD87" s="234"/>
      <c r="AE87" s="4"/>
      <c r="AF87" s="4"/>
    </row>
    <row r="88" spans="1:32" x14ac:dyDescent="0.25">
      <c r="A88" s="4"/>
      <c r="B88" s="232"/>
      <c r="C88" s="233"/>
      <c r="D88" s="232"/>
      <c r="E88" s="232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4"/>
      <c r="Y88" s="4"/>
      <c r="Z88" s="4"/>
      <c r="AA88" s="4"/>
      <c r="AB88" s="4"/>
      <c r="AC88" s="4"/>
      <c r="AD88" s="4"/>
      <c r="AE88" s="4"/>
      <c r="AF88" s="4"/>
    </row>
    <row r="89" spans="1:32" x14ac:dyDescent="0.25">
      <c r="A89" s="4"/>
      <c r="B89" s="232"/>
      <c r="C89" s="233"/>
      <c r="D89" s="232"/>
      <c r="E89" s="232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4"/>
      <c r="Y89" s="4"/>
      <c r="Z89" s="4"/>
      <c r="AA89" s="4"/>
      <c r="AB89" s="4"/>
      <c r="AC89" s="4"/>
      <c r="AD89" s="4"/>
      <c r="AE89" s="4"/>
      <c r="AF89" s="4"/>
    </row>
    <row r="90" spans="1:32" x14ac:dyDescent="0.25">
      <c r="A90" s="4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4"/>
      <c r="Y90" s="4"/>
      <c r="Z90" s="4"/>
      <c r="AA90" s="4"/>
      <c r="AB90" s="4"/>
      <c r="AC90" s="4"/>
      <c r="AD90" s="4"/>
      <c r="AE90" s="4"/>
      <c r="AF90" s="4"/>
    </row>
    <row r="91" spans="1:32" x14ac:dyDescent="0.25">
      <c r="A91" s="4"/>
      <c r="B91" s="225" t="s">
        <v>80</v>
      </c>
      <c r="C91" s="230">
        <v>45579</v>
      </c>
      <c r="D91" s="225" t="s">
        <v>76</v>
      </c>
      <c r="E91" s="229" t="s">
        <v>210</v>
      </c>
      <c r="F91" s="229"/>
      <c r="G91" s="229"/>
      <c r="H91" s="241"/>
      <c r="I91" s="241"/>
      <c r="J91" s="225"/>
      <c r="K91" s="225" t="s">
        <v>77</v>
      </c>
      <c r="L91" s="228" t="s">
        <v>209</v>
      </c>
      <c r="M91" s="228"/>
      <c r="N91" s="228"/>
      <c r="O91" s="228"/>
      <c r="P91" s="225"/>
      <c r="Q91" s="225"/>
      <c r="R91" s="225"/>
      <c r="S91" s="225"/>
      <c r="T91" s="225"/>
      <c r="U91" s="225"/>
      <c r="V91" s="225"/>
      <c r="W91" s="225"/>
      <c r="X91" s="4"/>
      <c r="Y91" s="4"/>
      <c r="Z91" s="4"/>
      <c r="AA91" s="4"/>
      <c r="AB91" s="4"/>
      <c r="AC91" s="4"/>
      <c r="AD91" s="4"/>
      <c r="AE91" s="4"/>
      <c r="AF91" s="4"/>
    </row>
    <row r="92" spans="1:32" ht="7.5" customHeight="1" x14ac:dyDescent="0.25">
      <c r="A92" s="4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4"/>
      <c r="Y92" s="4"/>
      <c r="Z92" s="4"/>
      <c r="AA92" s="4"/>
      <c r="AB92" s="4"/>
      <c r="AC92" s="4"/>
      <c r="AD92" s="4"/>
      <c r="AE92" s="4"/>
      <c r="AF92" s="4"/>
    </row>
    <row r="93" spans="1:32" x14ac:dyDescent="0.25">
      <c r="A93" s="4"/>
      <c r="B93" s="225"/>
      <c r="C93" s="225"/>
      <c r="D93" s="225" t="s">
        <v>79</v>
      </c>
      <c r="E93" s="227"/>
      <c r="F93" s="227"/>
      <c r="G93" s="227"/>
      <c r="H93" s="227"/>
      <c r="I93" s="227"/>
      <c r="J93" s="225"/>
      <c r="K93" s="225" t="s">
        <v>79</v>
      </c>
      <c r="L93" s="226"/>
      <c r="M93" s="226"/>
      <c r="N93" s="226"/>
      <c r="O93" s="226"/>
      <c r="P93" s="225"/>
      <c r="Q93" s="225"/>
      <c r="R93" s="225"/>
      <c r="S93" s="225"/>
      <c r="T93" s="225"/>
      <c r="U93" s="225"/>
      <c r="V93" s="225"/>
      <c r="W93" s="225"/>
      <c r="X93" s="4"/>
      <c r="Y93" s="4"/>
      <c r="Z93" s="4"/>
      <c r="AA93" s="4"/>
      <c r="AB93" s="4"/>
      <c r="AC93" s="4"/>
      <c r="AD93" s="4"/>
      <c r="AE93" s="4"/>
      <c r="AF93" s="4"/>
    </row>
    <row r="94" spans="1:32" x14ac:dyDescent="0.25">
      <c r="A94" s="4"/>
      <c r="B94" s="225"/>
      <c r="C94" s="225"/>
      <c r="D94" s="225"/>
      <c r="E94" s="227"/>
      <c r="F94" s="227"/>
      <c r="G94" s="227"/>
      <c r="H94" s="227"/>
      <c r="I94" s="227"/>
      <c r="J94" s="225"/>
      <c r="K94" s="225"/>
      <c r="L94" s="226"/>
      <c r="M94" s="226"/>
      <c r="N94" s="226"/>
      <c r="O94" s="226"/>
      <c r="P94" s="225"/>
      <c r="Q94" s="225"/>
      <c r="R94" s="225"/>
      <c r="S94" s="225"/>
      <c r="T94" s="225"/>
      <c r="U94" s="225"/>
      <c r="V94" s="225"/>
      <c r="W94" s="225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25">
      <c r="A95" s="4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4"/>
      <c r="Y95" s="4"/>
      <c r="Z95" s="4"/>
      <c r="AA95" s="4"/>
      <c r="AB95" s="4"/>
      <c r="AC95" s="4"/>
      <c r="AD95" s="4"/>
      <c r="AE95" s="4"/>
      <c r="AF95" s="4"/>
    </row>
    <row r="96" spans="1:32" x14ac:dyDescent="0.25">
      <c r="A96" s="4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4"/>
      <c r="Y96" s="4"/>
      <c r="Z96" s="4"/>
      <c r="AA96" s="4"/>
      <c r="AB96" s="4"/>
      <c r="AC96" s="4"/>
      <c r="AD96" s="4"/>
      <c r="AE96" s="4"/>
      <c r="AF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0">
    <mergeCell ref="L10:Q10"/>
    <mergeCell ref="L11:O11"/>
    <mergeCell ref="L12:Q12"/>
    <mergeCell ref="L13:N13"/>
    <mergeCell ref="O13:O14"/>
    <mergeCell ref="P13:P14"/>
    <mergeCell ref="J13:J14"/>
    <mergeCell ref="K13:K14"/>
    <mergeCell ref="D25:K25"/>
    <mergeCell ref="D26:F26"/>
    <mergeCell ref="G26:G27"/>
    <mergeCell ref="B10:B13"/>
    <mergeCell ref="R12:W12"/>
    <mergeCell ref="R13:T13"/>
    <mergeCell ref="B26:B27"/>
    <mergeCell ref="Q13:Q14"/>
    <mergeCell ref="L25:Q25"/>
    <mergeCell ref="L26:N26"/>
    <mergeCell ref="O26:O27"/>
    <mergeCell ref="P26:P27"/>
    <mergeCell ref="Q26:Q27"/>
    <mergeCell ref="G13:G14"/>
    <mergeCell ref="D4:W4"/>
    <mergeCell ref="D8:W8"/>
    <mergeCell ref="C43:C44"/>
    <mergeCell ref="C46:C47"/>
    <mergeCell ref="C26:C27"/>
    <mergeCell ref="D12:K12"/>
    <mergeCell ref="D10:K10"/>
    <mergeCell ref="D11:G11"/>
    <mergeCell ref="C10:C13"/>
    <mergeCell ref="D13:F13"/>
    <mergeCell ref="R26:T26"/>
    <mergeCell ref="U26:U27"/>
    <mergeCell ref="V26:V27"/>
    <mergeCell ref="W26:W27"/>
    <mergeCell ref="E91:G91"/>
    <mergeCell ref="L91:O91"/>
    <mergeCell ref="J26:J27"/>
    <mergeCell ref="K26:K27"/>
    <mergeCell ref="X10:AC10"/>
    <mergeCell ref="X25:AC25"/>
    <mergeCell ref="AA13:AA14"/>
    <mergeCell ref="AB13:AB14"/>
    <mergeCell ref="U13:U14"/>
    <mergeCell ref="V13:V14"/>
    <mergeCell ref="W13:W14"/>
    <mergeCell ref="R25:W25"/>
    <mergeCell ref="R10:W10"/>
    <mergeCell ref="R11:U11"/>
    <mergeCell ref="AD25:AD27"/>
    <mergeCell ref="X26:Z26"/>
    <mergeCell ref="AC26:AC27"/>
    <mergeCell ref="AD10:AD14"/>
    <mergeCell ref="X11:AA11"/>
    <mergeCell ref="X12:AC12"/>
    <mergeCell ref="X13:Z13"/>
    <mergeCell ref="AC13:AC14"/>
    <mergeCell ref="AA26:AA27"/>
    <mergeCell ref="AB26:AB27"/>
  </mergeCells>
  <conditionalFormatting sqref="AD15:AD25">
    <cfRule type="cellIs" dxfId="35" priority="3" operator="equal">
      <formula>0</formula>
    </cfRule>
    <cfRule type="containsErrors" dxfId="34" priority="4">
      <formula>ISERROR(AD15)</formula>
    </cfRule>
  </conditionalFormatting>
  <conditionalFormatting sqref="AD28:AD41">
    <cfRule type="cellIs" dxfId="33" priority="1" operator="equal">
      <formula>0</formula>
    </cfRule>
    <cfRule type="containsErrors" dxfId="32" priority="2">
      <formula>ISERROR(AD28)</formula>
    </cfRule>
  </conditionalFormatting>
  <pageMargins left="0.25" right="0.25" top="0.75" bottom="0.75" header="0.3" footer="0.3"/>
  <pageSetup paperSize="8" scale="4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128"/>
  <sheetViews>
    <sheetView showGridLines="0" zoomScale="80" zoomScaleNormal="80" zoomScaleSheetLayoutView="80" workbookViewId="0">
      <selection activeCell="D87" sqref="D8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2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5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2.8554687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240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46789723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239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176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/>
      <c r="E15" s="430"/>
      <c r="F15" s="429">
        <v>2766.7</v>
      </c>
      <c r="G15" s="428">
        <f>SUM(D15:F15)</f>
        <v>2766.7</v>
      </c>
      <c r="H15" s="410"/>
      <c r="I15" s="320">
        <f>G15+H15</f>
        <v>2766.7</v>
      </c>
      <c r="J15" s="435"/>
      <c r="K15" s="434"/>
      <c r="L15" s="433">
        <v>2560</v>
      </c>
      <c r="M15" s="432">
        <f>SUM(J15:L15)</f>
        <v>2560</v>
      </c>
      <c r="N15" s="411"/>
      <c r="O15" s="321">
        <f>M15+N15</f>
        <v>2560</v>
      </c>
      <c r="P15" s="431"/>
      <c r="Q15" s="430"/>
      <c r="R15" s="429">
        <v>1673.4</v>
      </c>
      <c r="S15" s="428">
        <f>SUM(P15:R15)</f>
        <v>1673.4</v>
      </c>
      <c r="T15" s="410">
        <v>4.7</v>
      </c>
      <c r="U15" s="320">
        <f>S15+T15</f>
        <v>1678.1000000000001</v>
      </c>
      <c r="V15" s="431"/>
      <c r="W15" s="430"/>
      <c r="X15" s="429">
        <v>2788</v>
      </c>
      <c r="Y15" s="428">
        <f>SUM(V15:X15)</f>
        <v>2788</v>
      </c>
      <c r="Z15" s="410"/>
      <c r="AA15" s="320">
        <f>Y15+Z15</f>
        <v>2788</v>
      </c>
      <c r="AB15" s="620">
        <f>IFERROR(AA15/O15,0)</f>
        <v>1.0890625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8310.9</v>
      </c>
      <c r="E16" s="403"/>
      <c r="F16" s="403"/>
      <c r="G16" s="401">
        <f>SUM(D16:F16)</f>
        <v>8310.9</v>
      </c>
      <c r="H16" s="423"/>
      <c r="I16" s="320">
        <f>G16+H16</f>
        <v>8310.9</v>
      </c>
      <c r="J16" s="426">
        <v>8900</v>
      </c>
      <c r="K16" s="408"/>
      <c r="L16" s="408"/>
      <c r="M16" s="406">
        <f>SUM(J16:L16)</f>
        <v>8900</v>
      </c>
      <c r="N16" s="425"/>
      <c r="O16" s="321">
        <f>M16+N16</f>
        <v>8900</v>
      </c>
      <c r="P16" s="424">
        <v>4350</v>
      </c>
      <c r="Q16" s="403"/>
      <c r="R16" s="403"/>
      <c r="S16" s="401">
        <f>SUM(P16:R16)</f>
        <v>4350</v>
      </c>
      <c r="T16" s="423"/>
      <c r="U16" s="320">
        <f>S16+T16</f>
        <v>4350</v>
      </c>
      <c r="V16" s="424">
        <v>8900</v>
      </c>
      <c r="W16" s="403"/>
      <c r="X16" s="403"/>
      <c r="Y16" s="401">
        <f>SUM(V16:X16)</f>
        <v>8900</v>
      </c>
      <c r="Z16" s="423"/>
      <c r="AA16" s="320">
        <f>Y16+Z16</f>
        <v>8900</v>
      </c>
      <c r="AB16" s="620">
        <f>IFERROR(AA16/O16,0)</f>
        <v>1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>
        <v>331.1</v>
      </c>
      <c r="E17" s="413"/>
      <c r="F17" s="413"/>
      <c r="G17" s="401">
        <f>SUM(D17:F17)</f>
        <v>331.1</v>
      </c>
      <c r="H17" s="419"/>
      <c r="I17" s="320">
        <f>G17+H17</f>
        <v>331.1</v>
      </c>
      <c r="J17" s="421">
        <v>588.70000000000005</v>
      </c>
      <c r="K17" s="416"/>
      <c r="L17" s="416"/>
      <c r="M17" s="406">
        <f>SUM(J17:L17)</f>
        <v>588.70000000000005</v>
      </c>
      <c r="N17" s="420"/>
      <c r="O17" s="321">
        <f>M17+N17</f>
        <v>588.70000000000005</v>
      </c>
      <c r="P17" s="58">
        <v>373.2</v>
      </c>
      <c r="Q17" s="413"/>
      <c r="R17" s="413"/>
      <c r="S17" s="401">
        <f>SUM(P17:R17)</f>
        <v>373.2</v>
      </c>
      <c r="T17" s="419"/>
      <c r="U17" s="320">
        <f>S17+T17</f>
        <v>373.2</v>
      </c>
      <c r="V17" s="58">
        <v>198.5</v>
      </c>
      <c r="W17" s="413"/>
      <c r="X17" s="413"/>
      <c r="Y17" s="401">
        <f>SUM(V17:X17)</f>
        <v>198.5</v>
      </c>
      <c r="Z17" s="419"/>
      <c r="AA17" s="320">
        <f>Y17+Z17</f>
        <v>198.5</v>
      </c>
      <c r="AB17" s="620">
        <f>IFERROR(AA17/O17,0)</f>
        <v>0.33718362493630027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/>
      <c r="E18" s="60">
        <v>50991.7</v>
      </c>
      <c r="F18" s="413"/>
      <c r="G18" s="401">
        <f>SUM(D18:F18)</f>
        <v>50991.7</v>
      </c>
      <c r="H18" s="410"/>
      <c r="I18" s="320">
        <f>G18+H18</f>
        <v>50991.7</v>
      </c>
      <c r="J18" s="409"/>
      <c r="K18" s="415">
        <v>49500</v>
      </c>
      <c r="L18" s="416"/>
      <c r="M18" s="406">
        <f>SUM(J18:L18)</f>
        <v>49500</v>
      </c>
      <c r="N18" s="411"/>
      <c r="O18" s="321">
        <f>M18+N18</f>
        <v>49500</v>
      </c>
      <c r="P18" s="404"/>
      <c r="Q18" s="60">
        <v>23994.400000000001</v>
      </c>
      <c r="R18" s="413"/>
      <c r="S18" s="401">
        <f>SUM(P18:R18)</f>
        <v>23994.400000000001</v>
      </c>
      <c r="T18" s="410"/>
      <c r="U18" s="320">
        <f>S18+T18</f>
        <v>23994.400000000001</v>
      </c>
      <c r="V18" s="404"/>
      <c r="W18" s="60">
        <v>51068.4</v>
      </c>
      <c r="X18" s="413"/>
      <c r="Y18" s="401">
        <f>SUM(V18:X18)</f>
        <v>51068.4</v>
      </c>
      <c r="Z18" s="410"/>
      <c r="AA18" s="320">
        <f>Y18+Z18</f>
        <v>51068.4</v>
      </c>
      <c r="AB18" s="620">
        <f>IFERROR(AA18/O18,0)</f>
        <v>1.0316848484848484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/>
      <c r="E19" s="413"/>
      <c r="F19" s="60">
        <v>979.8</v>
      </c>
      <c r="G19" s="401">
        <f>SUM(D19:F19)</f>
        <v>979.8</v>
      </c>
      <c r="H19" s="410"/>
      <c r="I19" s="320">
        <f>G19+H19</f>
        <v>979.8</v>
      </c>
      <c r="J19" s="417"/>
      <c r="K19" s="416"/>
      <c r="L19" s="415">
        <v>977</v>
      </c>
      <c r="M19" s="406">
        <f>SUM(J19:L19)</f>
        <v>977</v>
      </c>
      <c r="N19" s="411"/>
      <c r="O19" s="321">
        <f>M19+N19</f>
        <v>977</v>
      </c>
      <c r="P19" s="414"/>
      <c r="Q19" s="413"/>
      <c r="R19" s="60">
        <v>494.1</v>
      </c>
      <c r="S19" s="401">
        <f>SUM(P19:R19)</f>
        <v>494.1</v>
      </c>
      <c r="T19" s="410"/>
      <c r="U19" s="320">
        <f>S19+T19</f>
        <v>494.1</v>
      </c>
      <c r="V19" s="414"/>
      <c r="W19" s="413"/>
      <c r="X19" s="60">
        <v>244.7</v>
      </c>
      <c r="Y19" s="401">
        <f>SUM(V19:X19)</f>
        <v>244.7</v>
      </c>
      <c r="Z19" s="410"/>
      <c r="AA19" s="320">
        <f>Y19+Z19</f>
        <v>244.7</v>
      </c>
      <c r="AB19" s="620">
        <f>IFERROR(AA19/O19,0)</f>
        <v>0.250460593654043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/>
      <c r="E20" s="403"/>
      <c r="F20" s="402">
        <v>43.7</v>
      </c>
      <c r="G20" s="401">
        <f>SUM(D20:F20)</f>
        <v>43.7</v>
      </c>
      <c r="H20" s="410"/>
      <c r="I20" s="320">
        <f>G20+H20</f>
        <v>43.7</v>
      </c>
      <c r="J20" s="409"/>
      <c r="K20" s="408"/>
      <c r="L20" s="407">
        <v>250</v>
      </c>
      <c r="M20" s="406">
        <f>SUM(J20:L20)</f>
        <v>250</v>
      </c>
      <c r="N20" s="411"/>
      <c r="O20" s="321">
        <f>M20+N20</f>
        <v>250</v>
      </c>
      <c r="P20" s="404"/>
      <c r="Q20" s="403"/>
      <c r="R20" s="402">
        <v>2.5</v>
      </c>
      <c r="S20" s="401">
        <f>SUM(P20:R20)</f>
        <v>2.5</v>
      </c>
      <c r="T20" s="410"/>
      <c r="U20" s="320">
        <f>S20+T20</f>
        <v>2.5</v>
      </c>
      <c r="V20" s="404"/>
      <c r="W20" s="403"/>
      <c r="X20" s="402"/>
      <c r="Y20" s="401">
        <f>SUM(V20:X20)</f>
        <v>0</v>
      </c>
      <c r="Z20" s="410"/>
      <c r="AA20" s="320">
        <f>Y20+Z20</f>
        <v>0</v>
      </c>
      <c r="AB20" s="620">
        <f>IFERROR(AA20/O20,0)</f>
        <v>0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/>
      <c r="E21" s="403"/>
      <c r="F21" s="402">
        <v>597.70000000000005</v>
      </c>
      <c r="G21" s="401">
        <f>SUM(D21:F21)</f>
        <v>597.70000000000005</v>
      </c>
      <c r="H21" s="400">
        <v>367.7</v>
      </c>
      <c r="I21" s="320">
        <f>G21+H21</f>
        <v>965.40000000000009</v>
      </c>
      <c r="J21" s="409"/>
      <c r="K21" s="408"/>
      <c r="L21" s="407">
        <v>240</v>
      </c>
      <c r="M21" s="406">
        <f>SUM(J21:L21)</f>
        <v>240</v>
      </c>
      <c r="N21" s="405">
        <v>300</v>
      </c>
      <c r="O21" s="321">
        <f>M21+N21</f>
        <v>540</v>
      </c>
      <c r="P21" s="404"/>
      <c r="Q21" s="403"/>
      <c r="R21" s="402">
        <v>289.89999999999998</v>
      </c>
      <c r="S21" s="401">
        <v>289.89999999999998</v>
      </c>
      <c r="T21" s="400">
        <v>185.2</v>
      </c>
      <c r="U21" s="320">
        <f>S21+T21</f>
        <v>475.09999999999997</v>
      </c>
      <c r="V21" s="404"/>
      <c r="W21" s="403"/>
      <c r="X21" s="402">
        <v>610</v>
      </c>
      <c r="Y21" s="401">
        <f>SUM(V21:X21)</f>
        <v>610</v>
      </c>
      <c r="Z21" s="400">
        <v>370</v>
      </c>
      <c r="AA21" s="320">
        <f>Y21+Z21</f>
        <v>980</v>
      </c>
      <c r="AB21" s="620">
        <f>IFERROR(AA21/O21,0)</f>
        <v>1.8148148148148149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/>
      <c r="E22" s="403"/>
      <c r="F22" s="402"/>
      <c r="G22" s="401">
        <f>SUM(D22:F22)</f>
        <v>0</v>
      </c>
      <c r="H22" s="400">
        <v>367.7</v>
      </c>
      <c r="I22" s="320">
        <f>G22+H22</f>
        <v>367.7</v>
      </c>
      <c r="J22" s="409"/>
      <c r="K22" s="408"/>
      <c r="L22" s="407"/>
      <c r="M22" s="406">
        <f>SUM(J22:L22)</f>
        <v>0</v>
      </c>
      <c r="N22" s="405">
        <v>290</v>
      </c>
      <c r="O22" s="321">
        <f>M22+N22</f>
        <v>290</v>
      </c>
      <c r="P22" s="404"/>
      <c r="Q22" s="403"/>
      <c r="R22" s="402"/>
      <c r="S22" s="401">
        <f>SUM(P22:R22)</f>
        <v>0</v>
      </c>
      <c r="T22" s="400">
        <v>185.2</v>
      </c>
      <c r="U22" s="320">
        <f>S22+T22</f>
        <v>185.2</v>
      </c>
      <c r="V22" s="404"/>
      <c r="W22" s="403"/>
      <c r="X22" s="402"/>
      <c r="Y22" s="401">
        <f>SUM(V22:X22)</f>
        <v>0</v>
      </c>
      <c r="Z22" s="400">
        <v>370</v>
      </c>
      <c r="AA22" s="320">
        <f>Y22+Z22</f>
        <v>370</v>
      </c>
      <c r="AB22" s="620">
        <f>IFERROR(AA22/O22,0)</f>
        <v>1.2758620689655173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/>
      <c r="E23" s="391"/>
      <c r="F23" s="390"/>
      <c r="G23" s="401">
        <f>SUM(D23:F23)</f>
        <v>0</v>
      </c>
      <c r="H23" s="388"/>
      <c r="I23" s="309">
        <f>G23+H23</f>
        <v>0</v>
      </c>
      <c r="J23" s="397"/>
      <c r="K23" s="396"/>
      <c r="L23" s="395"/>
      <c r="M23" s="394">
        <f>SUM(J23:L23)</f>
        <v>0</v>
      </c>
      <c r="N23" s="393"/>
      <c r="O23" s="313">
        <f>M23+N23</f>
        <v>0</v>
      </c>
      <c r="P23" s="392"/>
      <c r="Q23" s="391"/>
      <c r="R23" s="390"/>
      <c r="S23" s="389">
        <f>SUM(P23:R23)</f>
        <v>0</v>
      </c>
      <c r="T23" s="388"/>
      <c r="U23" s="309">
        <f>S23+T23</f>
        <v>0</v>
      </c>
      <c r="V23" s="392"/>
      <c r="W23" s="391"/>
      <c r="X23" s="390"/>
      <c r="Y23" s="389">
        <f>SUM(V23:X23)</f>
        <v>0</v>
      </c>
      <c r="Z23" s="388"/>
      <c r="AA23" s="309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8642</v>
      </c>
      <c r="E24" s="381">
        <f>SUM(E15:E21)</f>
        <v>50991.7</v>
      </c>
      <c r="F24" s="381">
        <f>SUM(F15:F21)</f>
        <v>4387.8999999999996</v>
      </c>
      <c r="G24" s="380">
        <f>SUM(D24:F24)</f>
        <v>64021.599999999999</v>
      </c>
      <c r="H24" s="379">
        <f>SUM(H15:H21)</f>
        <v>367.7</v>
      </c>
      <c r="I24" s="379">
        <f>SUM(I15:I21)</f>
        <v>64389.299999999996</v>
      </c>
      <c r="J24" s="386">
        <f>SUM(J15:J21)</f>
        <v>9488.7000000000007</v>
      </c>
      <c r="K24" s="385">
        <f>SUM(K15:K21)</f>
        <v>49500</v>
      </c>
      <c r="L24" s="385">
        <f>SUM(L15:L21)</f>
        <v>4027</v>
      </c>
      <c r="M24" s="384">
        <f>SUM(J24:L24)</f>
        <v>63015.7</v>
      </c>
      <c r="N24" s="383">
        <f>SUM(N15:N21)</f>
        <v>300</v>
      </c>
      <c r="O24" s="383">
        <f>SUM(O15:O21)</f>
        <v>63315.7</v>
      </c>
      <c r="P24" s="382">
        <f>SUM(P15:P21)</f>
        <v>4723.2</v>
      </c>
      <c r="Q24" s="381">
        <f>SUM(Q15:Q21)</f>
        <v>23994.400000000001</v>
      </c>
      <c r="R24" s="381">
        <f>SUM(R15:R21)</f>
        <v>2459.9</v>
      </c>
      <c r="S24" s="380">
        <f>SUM(P24:R24)</f>
        <v>31177.500000000004</v>
      </c>
      <c r="T24" s="379">
        <f>SUM(T15:T21)</f>
        <v>189.89999999999998</v>
      </c>
      <c r="U24" s="379">
        <f>SUM(U15:U21)</f>
        <v>31367.399999999998</v>
      </c>
      <c r="V24" s="382">
        <f>SUM(V15:V21)</f>
        <v>9098.5</v>
      </c>
      <c r="W24" s="381">
        <f>SUM(W15:W21)</f>
        <v>51068.4</v>
      </c>
      <c r="X24" s="381">
        <f>SUM(X15:X21)</f>
        <v>3642.7</v>
      </c>
      <c r="Y24" s="380">
        <f>SUM(V24:X24)</f>
        <v>63809.599999999999</v>
      </c>
      <c r="Z24" s="379">
        <f>SUM(Z15:Z21)</f>
        <v>370</v>
      </c>
      <c r="AA24" s="379">
        <f>SUM(AA15:AA21)</f>
        <v>64179.6</v>
      </c>
      <c r="AB24" s="643">
        <f>IFERROR(AA24/O24,0)</f>
        <v>1.0136443251831695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638" t="s">
        <v>176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632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625"/>
      <c r="AC27" s="4"/>
      <c r="AD27" s="4"/>
    </row>
    <row r="28" spans="1:30" x14ac:dyDescent="0.25">
      <c r="A28" s="4"/>
      <c r="B28" s="338" t="s">
        <v>19</v>
      </c>
      <c r="C28" s="337" t="s">
        <v>10</v>
      </c>
      <c r="D28" s="333">
        <v>1005.9</v>
      </c>
      <c r="E28" s="333"/>
      <c r="F28" s="333"/>
      <c r="G28" s="332">
        <f>SUM(D28:F28)</f>
        <v>1005.9</v>
      </c>
      <c r="H28" s="332"/>
      <c r="I28" s="331">
        <f>G28+H28</f>
        <v>1005.9</v>
      </c>
      <c r="J28" s="489">
        <v>1050</v>
      </c>
      <c r="K28" s="488"/>
      <c r="L28" s="488"/>
      <c r="M28" s="336">
        <f>SUM(J28:L28)</f>
        <v>1050</v>
      </c>
      <c r="N28" s="336"/>
      <c r="O28" s="335">
        <f>M28+N28</f>
        <v>1050</v>
      </c>
      <c r="P28" s="334">
        <v>231.8</v>
      </c>
      <c r="Q28" s="333"/>
      <c r="R28" s="333"/>
      <c r="S28" s="332">
        <f>SUM(P28:R28)</f>
        <v>231.8</v>
      </c>
      <c r="T28" s="332"/>
      <c r="U28" s="331">
        <f>S28+T28</f>
        <v>231.8</v>
      </c>
      <c r="V28" s="334">
        <v>808.5</v>
      </c>
      <c r="W28" s="333"/>
      <c r="X28" s="333"/>
      <c r="Y28" s="332">
        <f>SUM(V28:X28)</f>
        <v>808.5</v>
      </c>
      <c r="Z28" s="332"/>
      <c r="AA28" s="331">
        <f>Y28+Z28</f>
        <v>808.5</v>
      </c>
      <c r="AB28" s="620">
        <f>IFERROR(AA28/O28,0)</f>
        <v>0.77</v>
      </c>
      <c r="AC28" s="4"/>
      <c r="AD28" s="4"/>
    </row>
    <row r="29" spans="1:30" x14ac:dyDescent="0.25">
      <c r="A29" s="4"/>
      <c r="B29" s="326" t="s">
        <v>20</v>
      </c>
      <c r="C29" s="325" t="s">
        <v>12</v>
      </c>
      <c r="D29" s="323">
        <v>781</v>
      </c>
      <c r="E29" s="323">
        <v>318.2</v>
      </c>
      <c r="F29" s="323">
        <v>2691.9</v>
      </c>
      <c r="G29" s="315">
        <f>SUM(D29:F29)</f>
        <v>3791.1000000000004</v>
      </c>
      <c r="H29" s="315">
        <v>6.1</v>
      </c>
      <c r="I29" s="320">
        <f>G29+H29</f>
        <v>3797.2000000000003</v>
      </c>
      <c r="J29" s="487">
        <v>677.7</v>
      </c>
      <c r="K29" s="486">
        <v>215</v>
      </c>
      <c r="L29" s="486">
        <v>2560</v>
      </c>
      <c r="M29" s="322">
        <f>SUM(J29:L29)</f>
        <v>3452.7</v>
      </c>
      <c r="N29" s="322"/>
      <c r="O29" s="321">
        <f>M29+N29</f>
        <v>3452.7</v>
      </c>
      <c r="P29" s="324">
        <v>241.8</v>
      </c>
      <c r="Q29" s="323">
        <v>119.2</v>
      </c>
      <c r="R29" s="323">
        <v>1562</v>
      </c>
      <c r="S29" s="315">
        <f>SUM(P29:R29)</f>
        <v>1923</v>
      </c>
      <c r="T29" s="315">
        <v>2.2999999999999998</v>
      </c>
      <c r="U29" s="320">
        <f>S29+T29</f>
        <v>1925.3</v>
      </c>
      <c r="V29" s="324">
        <v>608.79999999999995</v>
      </c>
      <c r="W29" s="323">
        <v>350</v>
      </c>
      <c r="X29" s="323">
        <v>2788</v>
      </c>
      <c r="Y29" s="315">
        <f>SUM(V29:X29)</f>
        <v>3746.8</v>
      </c>
      <c r="Z29" s="315"/>
      <c r="AA29" s="320">
        <f>Y29+Z29</f>
        <v>3746.8</v>
      </c>
      <c r="AB29" s="620">
        <f>IFERROR(AA29/O29,0)</f>
        <v>1.0851797144263911</v>
      </c>
      <c r="AC29" s="4"/>
      <c r="AD29" s="4"/>
    </row>
    <row r="30" spans="1:30" x14ac:dyDescent="0.25">
      <c r="A30" s="4"/>
      <c r="B30" s="326" t="s">
        <v>22</v>
      </c>
      <c r="C30" s="325" t="s">
        <v>14</v>
      </c>
      <c r="D30" s="323">
        <v>3570.4</v>
      </c>
      <c r="E30" s="323"/>
      <c r="F30" s="323"/>
      <c r="G30" s="315">
        <f>SUM(D30:F30)</f>
        <v>3570.4</v>
      </c>
      <c r="H30" s="315">
        <v>93</v>
      </c>
      <c r="I30" s="320">
        <f>G30+H30</f>
        <v>3663.4</v>
      </c>
      <c r="J30" s="487">
        <v>4400</v>
      </c>
      <c r="K30" s="486"/>
      <c r="L30" s="486">
        <v>50</v>
      </c>
      <c r="M30" s="322">
        <f>SUM(J30:L30)</f>
        <v>4450</v>
      </c>
      <c r="N30" s="322">
        <v>300</v>
      </c>
      <c r="O30" s="321">
        <f>M30+N30</f>
        <v>4750</v>
      </c>
      <c r="P30" s="324">
        <v>2378.1999999999998</v>
      </c>
      <c r="Q30" s="323"/>
      <c r="R30" s="323"/>
      <c r="S30" s="315">
        <f>SUM(P30:R30)</f>
        <v>2378.1999999999998</v>
      </c>
      <c r="T30" s="315">
        <v>50.8</v>
      </c>
      <c r="U30" s="320">
        <f>S30+T30</f>
        <v>2429</v>
      </c>
      <c r="V30" s="324">
        <v>4350</v>
      </c>
      <c r="W30" s="323"/>
      <c r="X30" s="323"/>
      <c r="Y30" s="315">
        <f>SUM(V30:X30)</f>
        <v>4350</v>
      </c>
      <c r="Z30" s="315">
        <v>370</v>
      </c>
      <c r="AA30" s="320">
        <f>Y30+Z30</f>
        <v>4720</v>
      </c>
      <c r="AB30" s="620">
        <f>IFERROR(AA30/O30,0)</f>
        <v>0.99368421052631584</v>
      </c>
      <c r="AC30" s="4"/>
      <c r="AD30" s="4"/>
    </row>
    <row r="31" spans="1:30" x14ac:dyDescent="0.25">
      <c r="A31" s="4"/>
      <c r="B31" s="326" t="s">
        <v>24</v>
      </c>
      <c r="C31" s="325" t="s">
        <v>16</v>
      </c>
      <c r="D31" s="323">
        <v>1296.5</v>
      </c>
      <c r="E31" s="323">
        <v>335.7</v>
      </c>
      <c r="F31" s="323"/>
      <c r="G31" s="315">
        <f>SUM(D31:F31)</f>
        <v>1632.2</v>
      </c>
      <c r="H31" s="315"/>
      <c r="I31" s="320">
        <f>G31+H31</f>
        <v>1632.2</v>
      </c>
      <c r="J31" s="487">
        <v>1600</v>
      </c>
      <c r="K31" s="486">
        <v>30</v>
      </c>
      <c r="L31" s="486"/>
      <c r="M31" s="322">
        <f>SUM(J31:L31)</f>
        <v>1630</v>
      </c>
      <c r="N31" s="322"/>
      <c r="O31" s="321">
        <f>M31+N31</f>
        <v>1630</v>
      </c>
      <c r="P31" s="324">
        <v>616.70000000000005</v>
      </c>
      <c r="Q31" s="323">
        <v>58.4</v>
      </c>
      <c r="R31" s="323"/>
      <c r="S31" s="315">
        <f>SUM(P31:R31)</f>
        <v>675.1</v>
      </c>
      <c r="T31" s="315"/>
      <c r="U31" s="320">
        <f>S31+T31</f>
        <v>675.1</v>
      </c>
      <c r="V31" s="324">
        <v>1500</v>
      </c>
      <c r="W31" s="323">
        <v>280</v>
      </c>
      <c r="X31" s="323"/>
      <c r="Y31" s="315">
        <f>SUM(V31:X31)</f>
        <v>1780</v>
      </c>
      <c r="Z31" s="315"/>
      <c r="AA31" s="320">
        <f>Y31+Z31</f>
        <v>1780</v>
      </c>
      <c r="AB31" s="620">
        <f>IFERROR(AA31/O31,0)</f>
        <v>1.0920245398773005</v>
      </c>
      <c r="AC31" s="4"/>
      <c r="AD31" s="4"/>
    </row>
    <row r="32" spans="1:30" x14ac:dyDescent="0.25">
      <c r="A32" s="4"/>
      <c r="B32" s="326" t="s">
        <v>26</v>
      </c>
      <c r="C32" s="325" t="s">
        <v>18</v>
      </c>
      <c r="D32" s="328">
        <v>137.6</v>
      </c>
      <c r="E32" s="323">
        <v>36700.9</v>
      </c>
      <c r="F32" s="323"/>
      <c r="G32" s="315">
        <f>SUM(D32:F32)</f>
        <v>36838.5</v>
      </c>
      <c r="H32" s="315"/>
      <c r="I32" s="320">
        <f>G32+H32</f>
        <v>36838.5</v>
      </c>
      <c r="J32" s="487">
        <v>191</v>
      </c>
      <c r="K32" s="486">
        <v>35500</v>
      </c>
      <c r="L32" s="486"/>
      <c r="M32" s="322">
        <f>SUM(J32:L32)</f>
        <v>35691</v>
      </c>
      <c r="N32" s="322"/>
      <c r="O32" s="321">
        <f>M32+N32</f>
        <v>35691</v>
      </c>
      <c r="P32" s="327"/>
      <c r="Q32" s="323">
        <v>17636</v>
      </c>
      <c r="R32" s="323"/>
      <c r="S32" s="315">
        <f>SUM(P32:R32)</f>
        <v>17636</v>
      </c>
      <c r="T32" s="315">
        <v>1.2</v>
      </c>
      <c r="U32" s="320">
        <f>S32+T32</f>
        <v>17637.2</v>
      </c>
      <c r="V32" s="327">
        <v>140.9</v>
      </c>
      <c r="W32" s="323">
        <v>36800</v>
      </c>
      <c r="X32" s="323"/>
      <c r="Y32" s="315">
        <f>SUM(V32:X32)</f>
        <v>36940.9</v>
      </c>
      <c r="Z32" s="315"/>
      <c r="AA32" s="320">
        <f>Y32+Z32</f>
        <v>36940.9</v>
      </c>
      <c r="AB32" s="620">
        <f>IFERROR(AA32/O32,0)</f>
        <v>1.0350200330615562</v>
      </c>
      <c r="AC32" s="4"/>
      <c r="AD32" s="4"/>
    </row>
    <row r="33" spans="1:30" x14ac:dyDescent="0.25">
      <c r="A33" s="4"/>
      <c r="B33" s="326" t="s">
        <v>28</v>
      </c>
      <c r="C33" s="330" t="s">
        <v>42</v>
      </c>
      <c r="D33" s="328">
        <v>137.6</v>
      </c>
      <c r="E33" s="323">
        <v>36286.199999999997</v>
      </c>
      <c r="F33" s="323"/>
      <c r="G33" s="315">
        <f>SUM(D33:F33)</f>
        <v>36423.799999999996</v>
      </c>
      <c r="H33" s="315"/>
      <c r="I33" s="320">
        <f>G33+H33</f>
        <v>36423.799999999996</v>
      </c>
      <c r="J33" s="487">
        <v>120</v>
      </c>
      <c r="K33" s="486">
        <v>34550</v>
      </c>
      <c r="L33" s="486"/>
      <c r="M33" s="322">
        <f>SUM(J33:L33)</f>
        <v>34670</v>
      </c>
      <c r="N33" s="322"/>
      <c r="O33" s="321">
        <f>M33+N33</f>
        <v>34670</v>
      </c>
      <c r="P33" s="327"/>
      <c r="Q33" s="323">
        <v>17418.099999999999</v>
      </c>
      <c r="R33" s="323"/>
      <c r="S33" s="315">
        <f>SUM(P33:R33)</f>
        <v>17418.099999999999</v>
      </c>
      <c r="T33" s="315">
        <v>1.2</v>
      </c>
      <c r="U33" s="320">
        <f>S33+T33</f>
        <v>17419.3</v>
      </c>
      <c r="V33" s="327">
        <v>140.9</v>
      </c>
      <c r="W33" s="323">
        <v>36350</v>
      </c>
      <c r="X33" s="323"/>
      <c r="Y33" s="315">
        <f>SUM(V33:X33)</f>
        <v>36490.9</v>
      </c>
      <c r="Z33" s="315"/>
      <c r="AA33" s="320">
        <f>Y33+Z33</f>
        <v>36490.9</v>
      </c>
      <c r="AB33" s="620">
        <f>IFERROR(AA33/O33,0)</f>
        <v>1.052520911450822</v>
      </c>
      <c r="AC33" s="4"/>
      <c r="AD33" s="4"/>
    </row>
    <row r="34" spans="1:30" x14ac:dyDescent="0.25">
      <c r="A34" s="4"/>
      <c r="B34" s="326" t="s">
        <v>30</v>
      </c>
      <c r="C34" s="329" t="s">
        <v>21</v>
      </c>
      <c r="D34" s="328"/>
      <c r="E34" s="323">
        <v>414.7</v>
      </c>
      <c r="F34" s="323"/>
      <c r="G34" s="315">
        <f>SUM(D34:F34)</f>
        <v>414.7</v>
      </c>
      <c r="H34" s="315"/>
      <c r="I34" s="320">
        <f>G34+H34</f>
        <v>414.7</v>
      </c>
      <c r="J34" s="487"/>
      <c r="K34" s="486">
        <v>450</v>
      </c>
      <c r="L34" s="486"/>
      <c r="M34" s="322">
        <f>SUM(J34:L34)</f>
        <v>450</v>
      </c>
      <c r="N34" s="322"/>
      <c r="O34" s="321">
        <f>M34+N34</f>
        <v>450</v>
      </c>
      <c r="P34" s="327">
        <v>0</v>
      </c>
      <c r="Q34" s="323">
        <v>217.9</v>
      </c>
      <c r="R34" s="323"/>
      <c r="S34" s="315">
        <f>SUM(P34:R34)</f>
        <v>217.9</v>
      </c>
      <c r="T34" s="315"/>
      <c r="U34" s="320">
        <f>S34+T34</f>
        <v>217.9</v>
      </c>
      <c r="V34" s="327"/>
      <c r="W34" s="323">
        <v>450</v>
      </c>
      <c r="X34" s="323"/>
      <c r="Y34" s="315">
        <f>SUM(V34:X34)</f>
        <v>450</v>
      </c>
      <c r="Z34" s="315"/>
      <c r="AA34" s="320">
        <f>Y34+Z34</f>
        <v>450</v>
      </c>
      <c r="AB34" s="620">
        <f>IFERROR(AA34/O34,0)</f>
        <v>1</v>
      </c>
      <c r="AC34" s="4"/>
      <c r="AD34" s="4"/>
    </row>
    <row r="35" spans="1:30" x14ac:dyDescent="0.25">
      <c r="A35" s="4"/>
      <c r="B35" s="326" t="s">
        <v>32</v>
      </c>
      <c r="C35" s="325" t="s">
        <v>23</v>
      </c>
      <c r="D35" s="328">
        <v>57.7</v>
      </c>
      <c r="E35" s="323">
        <v>12125.8</v>
      </c>
      <c r="F35" s="323"/>
      <c r="G35" s="315">
        <f>SUM(D35:F35)</f>
        <v>12183.5</v>
      </c>
      <c r="H35" s="315"/>
      <c r="I35" s="320">
        <f>G35+H35</f>
        <v>12183.5</v>
      </c>
      <c r="J35" s="487">
        <v>50</v>
      </c>
      <c r="K35" s="486">
        <v>12709</v>
      </c>
      <c r="L35" s="486"/>
      <c r="M35" s="322">
        <f>SUM(J35:L35)</f>
        <v>12759</v>
      </c>
      <c r="N35" s="322"/>
      <c r="O35" s="321">
        <f>M35+N35</f>
        <v>12759</v>
      </c>
      <c r="P35" s="327">
        <v>6.4</v>
      </c>
      <c r="Q35" s="323">
        <v>5833.3</v>
      </c>
      <c r="R35" s="323"/>
      <c r="S35" s="315">
        <f>SUM(P35:R35)</f>
        <v>5839.7</v>
      </c>
      <c r="T35" s="315">
        <v>0.4</v>
      </c>
      <c r="U35" s="320">
        <f>S35+T35</f>
        <v>5840.0999999999995</v>
      </c>
      <c r="V35" s="327">
        <v>57.1</v>
      </c>
      <c r="W35" s="323">
        <v>12438.4</v>
      </c>
      <c r="X35" s="323"/>
      <c r="Y35" s="315">
        <f>SUM(V35:X35)</f>
        <v>12495.5</v>
      </c>
      <c r="Z35" s="315"/>
      <c r="AA35" s="320">
        <f>Y35+Z35</f>
        <v>12495.5</v>
      </c>
      <c r="AB35" s="620">
        <f>IFERROR(AA35/O35,0)</f>
        <v>0.97934791127831333</v>
      </c>
      <c r="AC35" s="4"/>
      <c r="AD35" s="4"/>
    </row>
    <row r="36" spans="1:30" x14ac:dyDescent="0.25">
      <c r="A36" s="4"/>
      <c r="B36" s="326" t="s">
        <v>33</v>
      </c>
      <c r="C36" s="325" t="s">
        <v>25</v>
      </c>
      <c r="D36" s="323"/>
      <c r="E36" s="323"/>
      <c r="F36" s="323">
        <v>93.1</v>
      </c>
      <c r="G36" s="315">
        <f>SUM(D36:F36)</f>
        <v>93.1</v>
      </c>
      <c r="H36" s="315"/>
      <c r="I36" s="320">
        <f>G36+H36</f>
        <v>93.1</v>
      </c>
      <c r="J36" s="487"/>
      <c r="K36" s="486"/>
      <c r="L36" s="486">
        <v>65</v>
      </c>
      <c r="M36" s="322">
        <f>SUM(J36:L36)</f>
        <v>65</v>
      </c>
      <c r="N36" s="322"/>
      <c r="O36" s="321">
        <f>M36+N36</f>
        <v>65</v>
      </c>
      <c r="P36" s="324"/>
      <c r="Q36" s="323"/>
      <c r="R36" s="323">
        <v>59.6</v>
      </c>
      <c r="S36" s="315">
        <f>SUM(P36:R36)</f>
        <v>59.6</v>
      </c>
      <c r="T36" s="315"/>
      <c r="U36" s="320">
        <f>S36+T36</f>
        <v>59.6</v>
      </c>
      <c r="V36" s="324"/>
      <c r="W36" s="323"/>
      <c r="X36" s="323">
        <v>130</v>
      </c>
      <c r="Y36" s="315">
        <f>SUM(V36:X36)</f>
        <v>130</v>
      </c>
      <c r="Z36" s="315"/>
      <c r="AA36" s="320">
        <f>Y36+Z36</f>
        <v>130</v>
      </c>
      <c r="AB36" s="620">
        <f>IFERROR(AA36/O36,0)</f>
        <v>2</v>
      </c>
      <c r="AC36" s="4"/>
      <c r="AD36" s="4"/>
    </row>
    <row r="37" spans="1:30" x14ac:dyDescent="0.25">
      <c r="A37" s="4"/>
      <c r="B37" s="326" t="s">
        <v>34</v>
      </c>
      <c r="C37" s="325" t="s">
        <v>27</v>
      </c>
      <c r="D37" s="323">
        <v>1057.0999999999999</v>
      </c>
      <c r="E37" s="323"/>
      <c r="F37" s="323">
        <v>979.8</v>
      </c>
      <c r="G37" s="315">
        <f>SUM(D37:F37)</f>
        <v>2036.8999999999999</v>
      </c>
      <c r="H37" s="315"/>
      <c r="I37" s="320">
        <f>G37+H37</f>
        <v>2036.8999999999999</v>
      </c>
      <c r="J37" s="487">
        <v>1058.0999999999999</v>
      </c>
      <c r="K37" s="486"/>
      <c r="L37" s="486">
        <v>977</v>
      </c>
      <c r="M37" s="322">
        <f>SUM(J37:L37)</f>
        <v>2035.1</v>
      </c>
      <c r="N37" s="322"/>
      <c r="O37" s="321">
        <f>M37+N37</f>
        <v>2035.1</v>
      </c>
      <c r="P37" s="324">
        <v>530</v>
      </c>
      <c r="Q37" s="323"/>
      <c r="R37" s="323">
        <v>494.1</v>
      </c>
      <c r="S37" s="315">
        <f>SUM(P37:R37)</f>
        <v>1024.0999999999999</v>
      </c>
      <c r="T37" s="315"/>
      <c r="U37" s="320">
        <f>S37+T37</f>
        <v>1024.0999999999999</v>
      </c>
      <c r="V37" s="324">
        <v>1033.2</v>
      </c>
      <c r="W37" s="323"/>
      <c r="X37" s="323">
        <v>244.7</v>
      </c>
      <c r="Y37" s="315">
        <f>SUM(V37:X37)</f>
        <v>1277.9000000000001</v>
      </c>
      <c r="Z37" s="315"/>
      <c r="AA37" s="320">
        <f>Y37+Z37</f>
        <v>1277.9000000000001</v>
      </c>
      <c r="AB37" s="620">
        <f>IFERROR(AA37/O37,0)</f>
        <v>0.6279298314579137</v>
      </c>
      <c r="AC37" s="4"/>
      <c r="AD37" s="4"/>
    </row>
    <row r="38" spans="1:30" ht="15.75" thickBot="1" x14ac:dyDescent="0.3">
      <c r="A38" s="4"/>
      <c r="B38" s="317" t="s">
        <v>35</v>
      </c>
      <c r="C38" s="316" t="s">
        <v>29</v>
      </c>
      <c r="D38" s="909">
        <v>952.7</v>
      </c>
      <c r="E38" s="909">
        <v>1511.1</v>
      </c>
      <c r="F38" s="909">
        <v>90.9</v>
      </c>
      <c r="G38" s="908">
        <f>SUM(D38:F38)</f>
        <v>2554.7000000000003</v>
      </c>
      <c r="H38" s="907"/>
      <c r="I38" s="906">
        <f>SUM(G38+H38)</f>
        <v>2554.7000000000003</v>
      </c>
      <c r="J38" s="485">
        <v>461.9</v>
      </c>
      <c r="K38" s="484">
        <v>1046</v>
      </c>
      <c r="L38" s="484">
        <v>375</v>
      </c>
      <c r="M38" s="314">
        <f>SUM(J38:L38)</f>
        <v>1882.9</v>
      </c>
      <c r="N38" s="314"/>
      <c r="O38" s="313">
        <f>M38+N38</f>
        <v>1882.9</v>
      </c>
      <c r="P38" s="312">
        <v>145.6</v>
      </c>
      <c r="Q38" s="311">
        <v>347.5</v>
      </c>
      <c r="R38" s="311"/>
      <c r="S38" s="310">
        <f>SUM(P38:R38)</f>
        <v>493.1</v>
      </c>
      <c r="T38" s="310"/>
      <c r="U38" s="309">
        <f>S38+T38</f>
        <v>493.1</v>
      </c>
      <c r="V38" s="312">
        <v>600</v>
      </c>
      <c r="W38" s="311">
        <v>1200</v>
      </c>
      <c r="X38" s="311">
        <v>480</v>
      </c>
      <c r="Y38" s="310">
        <f>SUM(V38:X38)</f>
        <v>2280</v>
      </c>
      <c r="Z38" s="310"/>
      <c r="AA38" s="309">
        <f>Y38+Z38</f>
        <v>2280</v>
      </c>
      <c r="AB38" s="618">
        <f>IFERROR(AA38/O38,0)</f>
        <v>1.2108980827447022</v>
      </c>
      <c r="AC38" s="4"/>
      <c r="AD38" s="4"/>
    </row>
    <row r="39" spans="1:30" ht="15.75" thickBot="1" x14ac:dyDescent="0.3">
      <c r="A39" s="4"/>
      <c r="B39" s="307" t="s">
        <v>48</v>
      </c>
      <c r="C39" s="306" t="s">
        <v>31</v>
      </c>
      <c r="D39" s="301">
        <f>SUM(D35:D38)+SUM(D28:D32)</f>
        <v>8858.9000000000015</v>
      </c>
      <c r="E39" s="301">
        <f>SUM(E35:E38)+SUM(E28:E32)</f>
        <v>50991.700000000004</v>
      </c>
      <c r="F39" s="301">
        <f>SUM(F35:F38)+SUM(F28:F32)</f>
        <v>3855.7</v>
      </c>
      <c r="G39" s="300">
        <f>SUM(D39:F39)</f>
        <v>63706.3</v>
      </c>
      <c r="H39" s="299">
        <f>SUM(H28:H32)+SUM(H35:H38)</f>
        <v>99.1</v>
      </c>
      <c r="I39" s="298">
        <f>SUM(I35:I38)+SUM(I28:I32)</f>
        <v>63805.399999999994</v>
      </c>
      <c r="J39" s="305">
        <f>SUM(J35:J38)+SUM(J28:J32)</f>
        <v>9488.7000000000007</v>
      </c>
      <c r="K39" s="305">
        <f>SUM(K35:K38)+SUM(K28:K32)</f>
        <v>49500</v>
      </c>
      <c r="L39" s="305">
        <f>SUM(L35:L38)+SUM(L28:L32)</f>
        <v>4027</v>
      </c>
      <c r="M39" s="304">
        <f>SUM(J39:L39)</f>
        <v>63015.7</v>
      </c>
      <c r="N39" s="303">
        <f>SUM(N28:N32)+SUM(N35:N38)</f>
        <v>300</v>
      </c>
      <c r="O39" s="302">
        <f>SUM(O35:O38)+SUM(O28:O32)</f>
        <v>63315.7</v>
      </c>
      <c r="P39" s="301">
        <f>SUM(P35:P38)+SUM(P28:P32)</f>
        <v>4150.5</v>
      </c>
      <c r="Q39" s="301">
        <f>SUM(Q35:Q38)+SUM(Q28:Q32)</f>
        <v>23994.399999999998</v>
      </c>
      <c r="R39" s="301">
        <f>SUM(R35:R38)+SUM(R28:R32)</f>
        <v>2115.6999999999998</v>
      </c>
      <c r="S39" s="300">
        <f>SUM(P39:R39)</f>
        <v>30260.6</v>
      </c>
      <c r="T39" s="299">
        <f>SUM(T28:T32)+SUM(T35:T38)</f>
        <v>54.699999999999996</v>
      </c>
      <c r="U39" s="298">
        <f>SUM(U35:U38)+SUM(U28:U32)</f>
        <v>30315.300000000003</v>
      </c>
      <c r="V39" s="301">
        <f>SUM(V35:V38)+SUM(V28:V32)</f>
        <v>9098.5</v>
      </c>
      <c r="W39" s="301">
        <f>SUM(W35:W38)+SUM(W28:W32)</f>
        <v>51068.4</v>
      </c>
      <c r="X39" s="301">
        <f>SUM(X35:X38)+SUM(X28:X32)</f>
        <v>3642.7</v>
      </c>
      <c r="Y39" s="300">
        <f>SUM(V39:X39)</f>
        <v>63809.599999999999</v>
      </c>
      <c r="Z39" s="299">
        <f>SUM(Z28:Z32)+SUM(Z35:Z38)</f>
        <v>370</v>
      </c>
      <c r="AA39" s="298">
        <f>SUM(AA35:AA38)+SUM(AA28:AA32)</f>
        <v>64179.6</v>
      </c>
      <c r="AB39" s="616">
        <f>IFERROR(AA39/O39,0)</f>
        <v>1.0136443251831695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292">
        <f>D24-D39</f>
        <v>-216.90000000000146</v>
      </c>
      <c r="E40" s="292">
        <f>E24-E39</f>
        <v>0</v>
      </c>
      <c r="F40" s="292">
        <f>F24-F39</f>
        <v>532.19999999999982</v>
      </c>
      <c r="G40" s="291">
        <f>G24-G39</f>
        <v>315.29999999999563</v>
      </c>
      <c r="H40" s="291">
        <f>H24-H39</f>
        <v>268.60000000000002</v>
      </c>
      <c r="I40" s="290">
        <f>I24-I39</f>
        <v>583.90000000000146</v>
      </c>
      <c r="J40" s="292">
        <f>J24-J39</f>
        <v>0</v>
      </c>
      <c r="K40" s="292">
        <f>K24-K39</f>
        <v>0</v>
      </c>
      <c r="L40" s="292">
        <f>L24-L39</f>
        <v>0</v>
      </c>
      <c r="M40" s="294">
        <f>M24-M39</f>
        <v>0</v>
      </c>
      <c r="N40" s="294">
        <f>N24-N39</f>
        <v>0</v>
      </c>
      <c r="O40" s="293">
        <f>O24-O39</f>
        <v>0</v>
      </c>
      <c r="P40" s="292">
        <f>P24-P39</f>
        <v>572.69999999999982</v>
      </c>
      <c r="Q40" s="292">
        <f>Q24-Q39</f>
        <v>0</v>
      </c>
      <c r="R40" s="292">
        <f>R24-R39</f>
        <v>344.20000000000027</v>
      </c>
      <c r="S40" s="291">
        <f>S24-S39</f>
        <v>916.90000000000509</v>
      </c>
      <c r="T40" s="291">
        <f>T24-T39</f>
        <v>135.19999999999999</v>
      </c>
      <c r="U40" s="290">
        <f>U24-U39</f>
        <v>1052.0999999999949</v>
      </c>
      <c r="V40" s="292">
        <f>V24-V39</f>
        <v>0</v>
      </c>
      <c r="W40" s="292">
        <f>W24-W39</f>
        <v>0</v>
      </c>
      <c r="X40" s="292">
        <f>X24-X39</f>
        <v>0</v>
      </c>
      <c r="Y40" s="291">
        <f>Y24-Y39</f>
        <v>0</v>
      </c>
      <c r="Z40" s="291">
        <f>Z24-Z39</f>
        <v>0</v>
      </c>
      <c r="AA40" s="290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285"/>
      <c r="E41" s="284"/>
      <c r="F41" s="284"/>
      <c r="G41" s="283"/>
      <c r="H41" s="286"/>
      <c r="I41" s="281">
        <f>I40-D16</f>
        <v>-7726.9999999999982</v>
      </c>
      <c r="J41" s="285"/>
      <c r="K41" s="284"/>
      <c r="L41" s="284"/>
      <c r="M41" s="283"/>
      <c r="N41" s="282"/>
      <c r="O41" s="281">
        <f>O40-J16</f>
        <v>-8900</v>
      </c>
      <c r="P41" s="285"/>
      <c r="Q41" s="284"/>
      <c r="R41" s="284"/>
      <c r="S41" s="283"/>
      <c r="T41" s="282"/>
      <c r="U41" s="281">
        <f>U40-P16</f>
        <v>-3297.9000000000051</v>
      </c>
      <c r="V41" s="285"/>
      <c r="W41" s="284"/>
      <c r="X41" s="284"/>
      <c r="Y41" s="283"/>
      <c r="Z41" s="282"/>
      <c r="AA41" s="281">
        <f>AA40-V16</f>
        <v>-8900</v>
      </c>
      <c r="AB41" s="612">
        <f>IFERROR(AA41/O41,0)</f>
        <v>1</v>
      </c>
      <c r="AC41" s="4"/>
      <c r="AD41" s="4"/>
    </row>
    <row r="42" spans="1:30" ht="8.25" customHeight="1" thickBot="1" x14ac:dyDescent="0.3">
      <c r="A42" s="4"/>
      <c r="B42" s="272"/>
      <c r="C42" s="164"/>
      <c r="D42" s="279"/>
      <c r="E42" s="256"/>
      <c r="F42" s="256"/>
      <c r="G42" s="4"/>
      <c r="H42" s="256"/>
      <c r="I42" s="256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106" t="s">
        <v>41</v>
      </c>
      <c r="E43" s="278" t="s">
        <v>83</v>
      </c>
      <c r="F43" s="277" t="s">
        <v>36</v>
      </c>
      <c r="G43" s="256"/>
      <c r="H43" s="256"/>
      <c r="I43" s="255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106" t="s">
        <v>41</v>
      </c>
      <c r="W43" s="278" t="s">
        <v>83</v>
      </c>
      <c r="X43" s="277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272"/>
      <c r="C44" s="276"/>
      <c r="D44" s="266">
        <v>887.6</v>
      </c>
      <c r="E44" s="275">
        <v>887.6</v>
      </c>
      <c r="F44" s="274">
        <v>0</v>
      </c>
      <c r="G44" s="256"/>
      <c r="H44" s="256"/>
      <c r="I44" s="255"/>
      <c r="J44" s="266">
        <v>887.6</v>
      </c>
      <c r="K44" s="275">
        <v>887.6</v>
      </c>
      <c r="L44" s="274">
        <v>0</v>
      </c>
      <c r="M44" s="273"/>
      <c r="N44" s="273"/>
      <c r="O44" s="273"/>
      <c r="P44" s="266">
        <v>443.8</v>
      </c>
      <c r="Q44" s="275">
        <v>443.8</v>
      </c>
      <c r="R44" s="274">
        <v>0</v>
      </c>
      <c r="S44" s="4"/>
      <c r="T44" s="4"/>
      <c r="U44" s="4"/>
      <c r="V44" s="266">
        <v>887.6</v>
      </c>
      <c r="W44" s="275">
        <v>887.6</v>
      </c>
      <c r="X44" s="274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272"/>
      <c r="C45" s="164"/>
      <c r="D45" s="273"/>
      <c r="E45" s="256"/>
      <c r="F45" s="256"/>
      <c r="G45" s="256"/>
      <c r="H45" s="256"/>
      <c r="I45" s="255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95" t="s">
        <v>86</v>
      </c>
      <c r="E46" s="269" t="s">
        <v>84</v>
      </c>
      <c r="F46" s="256"/>
      <c r="G46" s="256"/>
      <c r="H46" s="256"/>
      <c r="I46" s="255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4"/>
      <c r="T46" s="4"/>
      <c r="U46" s="4"/>
      <c r="V46" s="95" t="s">
        <v>86</v>
      </c>
      <c r="W46" s="269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257"/>
      <c r="C47" s="268"/>
      <c r="D47" s="266">
        <v>0</v>
      </c>
      <c r="E47" s="265">
        <v>89.9</v>
      </c>
      <c r="F47" s="256"/>
      <c r="G47" s="256"/>
      <c r="H47" s="256"/>
      <c r="I47" s="255"/>
      <c r="J47" s="266">
        <v>0</v>
      </c>
      <c r="K47" s="265">
        <v>0</v>
      </c>
      <c r="L47" s="267"/>
      <c r="M47" s="267"/>
      <c r="N47" s="4"/>
      <c r="O47" s="4"/>
      <c r="P47" s="266">
        <v>0</v>
      </c>
      <c r="Q47" s="265">
        <v>0</v>
      </c>
      <c r="R47" s="4"/>
      <c r="S47" s="4"/>
      <c r="T47" s="4"/>
      <c r="U47" s="4"/>
      <c r="V47" s="266">
        <v>0</v>
      </c>
      <c r="W47" s="265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257"/>
      <c r="C48" s="164"/>
      <c r="D48" s="256"/>
      <c r="E48" s="256"/>
      <c r="F48" s="256"/>
      <c r="G48" s="256"/>
      <c r="H48" s="256"/>
      <c r="I48" s="255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257"/>
      <c r="C49" s="261" t="s">
        <v>81</v>
      </c>
      <c r="D49" s="260" t="s">
        <v>72</v>
      </c>
      <c r="E49" s="260" t="s">
        <v>73</v>
      </c>
      <c r="F49" s="260" t="s">
        <v>91</v>
      </c>
      <c r="G49" s="260" t="s">
        <v>93</v>
      </c>
      <c r="H49" s="256"/>
      <c r="I49" s="4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260" t="s">
        <v>72</v>
      </c>
      <c r="Q49" s="260" t="s">
        <v>73</v>
      </c>
      <c r="R49" s="260" t="s">
        <v>91</v>
      </c>
      <c r="S49" s="260" t="s">
        <v>94</v>
      </c>
      <c r="T49" s="4"/>
      <c r="U49" s="4"/>
      <c r="V49" s="260" t="s">
        <v>95</v>
      </c>
      <c r="W49" s="260" t="s">
        <v>73</v>
      </c>
      <c r="X49" s="260" t="s">
        <v>91</v>
      </c>
      <c r="Y49" s="260" t="s">
        <v>94</v>
      </c>
      <c r="Z49" s="4"/>
      <c r="AA49" s="4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263"/>
      <c r="E50" s="263"/>
      <c r="F50" s="263"/>
      <c r="G50" s="262">
        <f>D50+E50-F50</f>
        <v>0</v>
      </c>
      <c r="H50" s="256"/>
      <c r="I50" s="4"/>
      <c r="J50" s="262"/>
      <c r="K50" s="263"/>
      <c r="L50" s="263"/>
      <c r="M50" s="262">
        <f>J50+K50-L50</f>
        <v>0</v>
      </c>
      <c r="N50" s="4"/>
      <c r="O50" s="4"/>
      <c r="P50" s="263"/>
      <c r="Q50" s="263"/>
      <c r="R50" s="263"/>
      <c r="S50" s="262">
        <f>P50+Q50-R50</f>
        <v>0</v>
      </c>
      <c r="T50" s="4"/>
      <c r="U50" s="4"/>
      <c r="V50" s="263"/>
      <c r="W50" s="263"/>
      <c r="X50" s="263"/>
      <c r="Y50" s="262">
        <f>V50+W50-X50</f>
        <v>0</v>
      </c>
      <c r="Z50" s="4"/>
      <c r="AA50" s="4"/>
      <c r="AB50" s="4"/>
      <c r="AC50" s="4"/>
      <c r="AD50" s="4"/>
    </row>
    <row r="51" spans="1:30" x14ac:dyDescent="0.25">
      <c r="A51" s="4"/>
      <c r="B51" s="257"/>
      <c r="C51" s="259" t="s">
        <v>70</v>
      </c>
      <c r="D51" s="263">
        <v>1238.3</v>
      </c>
      <c r="E51" s="263">
        <v>3308.3</v>
      </c>
      <c r="F51" s="263">
        <v>375.1</v>
      </c>
      <c r="G51" s="262">
        <f>D51+E51-F51</f>
        <v>4171.5</v>
      </c>
      <c r="H51" s="256"/>
      <c r="I51" s="4"/>
      <c r="J51" s="262">
        <v>1188.3</v>
      </c>
      <c r="K51" s="263">
        <v>120</v>
      </c>
      <c r="L51" s="263">
        <v>100</v>
      </c>
      <c r="M51" s="262">
        <f>J51+K51-L51</f>
        <v>1208.3</v>
      </c>
      <c r="N51" s="4"/>
      <c r="O51" s="4"/>
      <c r="P51" s="263">
        <v>4171.5</v>
      </c>
      <c r="Q51" s="263">
        <v>608.9</v>
      </c>
      <c r="R51" s="263">
        <v>1697.8</v>
      </c>
      <c r="S51" s="262">
        <f>P51+Q51-R51</f>
        <v>3082.5999999999995</v>
      </c>
      <c r="T51" s="4"/>
      <c r="U51" s="4"/>
      <c r="V51" s="263">
        <v>2080</v>
      </c>
      <c r="W51" s="263">
        <v>150</v>
      </c>
      <c r="X51" s="263">
        <v>1450</v>
      </c>
      <c r="Y51" s="262">
        <f>V51+W51-X51</f>
        <v>780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259" t="s">
        <v>71</v>
      </c>
      <c r="D52" s="263">
        <v>222</v>
      </c>
      <c r="E52" s="263">
        <v>1147.0999999999999</v>
      </c>
      <c r="F52" s="263">
        <v>977.6</v>
      </c>
      <c r="G52" s="262">
        <f>D52+E52-F52</f>
        <v>391.49999999999989</v>
      </c>
      <c r="H52" s="256"/>
      <c r="I52" s="4"/>
      <c r="J52" s="262">
        <v>392.5</v>
      </c>
      <c r="K52" s="263">
        <v>1060</v>
      </c>
      <c r="L52" s="263">
        <v>1087.5999999999999</v>
      </c>
      <c r="M52" s="262">
        <f>J52+K52-L52</f>
        <v>364.90000000000009</v>
      </c>
      <c r="N52" s="4"/>
      <c r="O52" s="4"/>
      <c r="P52" s="263">
        <v>391.5</v>
      </c>
      <c r="Q52" s="263">
        <v>830</v>
      </c>
      <c r="R52" s="263">
        <v>443.8</v>
      </c>
      <c r="S52" s="262">
        <f>P52+Q52-R52</f>
        <v>777.7</v>
      </c>
      <c r="T52" s="4"/>
      <c r="U52" s="4"/>
      <c r="V52" s="263">
        <v>220</v>
      </c>
      <c r="W52" s="263">
        <v>1633.2</v>
      </c>
      <c r="X52" s="263">
        <v>1487.6</v>
      </c>
      <c r="Y52" s="262">
        <f>V52+W52-X52</f>
        <v>365.60000000000014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259" t="s">
        <v>88</v>
      </c>
      <c r="D53" s="263">
        <v>420.8</v>
      </c>
      <c r="E53" s="263">
        <v>0</v>
      </c>
      <c r="F53" s="263">
        <v>0</v>
      </c>
      <c r="G53" s="262">
        <f>D53+E53-F53</f>
        <v>420.8</v>
      </c>
      <c r="H53" s="256"/>
      <c r="I53" s="4"/>
      <c r="J53" s="262">
        <v>440.8</v>
      </c>
      <c r="K53" s="263"/>
      <c r="L53" s="263">
        <v>4.2</v>
      </c>
      <c r="M53" s="262">
        <f>J53+K53-L53</f>
        <v>436.6</v>
      </c>
      <c r="N53" s="4"/>
      <c r="O53" s="4"/>
      <c r="P53" s="263">
        <v>420.8</v>
      </c>
      <c r="Q53" s="263">
        <v>0</v>
      </c>
      <c r="R53" s="263">
        <v>0</v>
      </c>
      <c r="S53" s="262">
        <f>P53+Q53-R53</f>
        <v>420.8</v>
      </c>
      <c r="T53" s="4"/>
      <c r="U53" s="4"/>
      <c r="V53" s="263">
        <v>420.8</v>
      </c>
      <c r="W53" s="263">
        <v>0</v>
      </c>
      <c r="X53" s="263">
        <v>3.8</v>
      </c>
      <c r="Y53" s="262">
        <f>V53+W53-X53</f>
        <v>417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64" t="s">
        <v>89</v>
      </c>
      <c r="D54" s="263">
        <v>528</v>
      </c>
      <c r="E54" s="263">
        <v>728.5</v>
      </c>
      <c r="F54" s="263">
        <v>866.2</v>
      </c>
      <c r="G54" s="262">
        <f>D54+E54-F54</f>
        <v>390.29999999999995</v>
      </c>
      <c r="H54" s="256"/>
      <c r="I54" s="4"/>
      <c r="J54" s="262">
        <v>548</v>
      </c>
      <c r="K54" s="263">
        <v>350</v>
      </c>
      <c r="L54" s="263">
        <v>500</v>
      </c>
      <c r="M54" s="262">
        <f>J54+K54-L54</f>
        <v>398</v>
      </c>
      <c r="N54" s="4"/>
      <c r="O54" s="4"/>
      <c r="P54" s="263">
        <v>390.3</v>
      </c>
      <c r="Q54" s="263">
        <v>174.2</v>
      </c>
      <c r="R54" s="263">
        <v>208.1</v>
      </c>
      <c r="S54" s="262">
        <f>P54+Q54-R54</f>
        <v>356.4</v>
      </c>
      <c r="T54" s="4"/>
      <c r="U54" s="4"/>
      <c r="V54" s="263">
        <v>398</v>
      </c>
      <c r="W54" s="263">
        <v>360</v>
      </c>
      <c r="X54" s="263">
        <v>450</v>
      </c>
      <c r="Y54" s="262">
        <f>V54+W54-X54</f>
        <v>308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257"/>
      <c r="C55" s="164"/>
      <c r="D55" s="256"/>
      <c r="E55" s="256"/>
      <c r="F55" s="256"/>
      <c r="G55" s="256"/>
      <c r="H55" s="25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257"/>
      <c r="C56" s="261" t="s">
        <v>74</v>
      </c>
      <c r="D56" s="260" t="s">
        <v>75</v>
      </c>
      <c r="E56" s="260" t="s">
        <v>96</v>
      </c>
      <c r="F56" s="256"/>
      <c r="G56" s="256"/>
      <c r="H56" s="256"/>
      <c r="I56" s="255"/>
      <c r="J56" s="260" t="s">
        <v>97</v>
      </c>
      <c r="K56" s="256"/>
      <c r="L56" s="256"/>
      <c r="M56" s="256"/>
      <c r="N56" s="256"/>
      <c r="O56" s="255"/>
      <c r="P56" s="260" t="s">
        <v>98</v>
      </c>
      <c r="Q56" s="255"/>
      <c r="R56" s="255"/>
      <c r="S56" s="255"/>
      <c r="T56" s="255"/>
      <c r="U56" s="255"/>
      <c r="V56" s="260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257"/>
      <c r="C57" s="259"/>
      <c r="D57" s="258">
        <v>61</v>
      </c>
      <c r="E57" s="258">
        <v>69.97</v>
      </c>
      <c r="F57" s="256"/>
      <c r="G57" s="256"/>
      <c r="H57" s="256"/>
      <c r="I57" s="255"/>
      <c r="J57" s="258">
        <v>65</v>
      </c>
      <c r="K57" s="256"/>
      <c r="L57" s="256"/>
      <c r="M57" s="256"/>
      <c r="N57" s="256"/>
      <c r="O57" s="255"/>
      <c r="P57" s="258">
        <v>72</v>
      </c>
      <c r="Q57" s="255"/>
      <c r="R57" s="255"/>
      <c r="S57" s="255"/>
      <c r="T57" s="255"/>
      <c r="U57" s="255"/>
      <c r="V57" s="258">
        <v>72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164"/>
      <c r="D58" s="256"/>
      <c r="E58" s="256"/>
      <c r="F58" s="256"/>
      <c r="G58" s="256"/>
      <c r="H58" s="256"/>
      <c r="I58" s="255"/>
      <c r="J58" s="256"/>
      <c r="K58" s="256"/>
      <c r="L58" s="256"/>
      <c r="M58" s="256"/>
      <c r="N58" s="256"/>
      <c r="O58" s="255"/>
      <c r="P58" s="255"/>
      <c r="Q58" s="255"/>
      <c r="R58" s="255"/>
      <c r="S58" s="255"/>
      <c r="T58" s="255"/>
      <c r="U58" s="255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4" t="s">
        <v>92</v>
      </c>
      <c r="C59" s="253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1"/>
      <c r="W59" s="251"/>
      <c r="X59" s="251"/>
      <c r="Y59" s="251"/>
      <c r="Z59" s="251"/>
      <c r="AA59" s="251"/>
      <c r="AB59" s="250"/>
      <c r="AC59" s="4"/>
      <c r="AD59" s="4"/>
    </row>
    <row r="60" spans="1:30" x14ac:dyDescent="0.25">
      <c r="A60" s="4"/>
      <c r="B60" s="249"/>
      <c r="M60"/>
      <c r="AB60" s="240"/>
      <c r="AC60" s="4"/>
      <c r="AD60" s="4"/>
    </row>
    <row r="61" spans="1:30" x14ac:dyDescent="0.25">
      <c r="A61" s="4"/>
      <c r="B61" s="245" t="s">
        <v>238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AB61" s="240"/>
      <c r="AC61" s="4"/>
      <c r="AD61" s="4"/>
    </row>
    <row r="62" spans="1:30" x14ac:dyDescent="0.25">
      <c r="A62" s="4"/>
      <c r="B62" s="245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AB62" s="240"/>
      <c r="AC62" s="4"/>
      <c r="AD62" s="4"/>
    </row>
    <row r="63" spans="1:30" x14ac:dyDescent="0.25">
      <c r="A63" s="4"/>
      <c r="B63" s="245" t="s">
        <v>237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AB63" s="240"/>
      <c r="AC63" s="4"/>
      <c r="AD63" s="4"/>
    </row>
    <row r="64" spans="1:30" x14ac:dyDescent="0.25">
      <c r="A64" s="4"/>
      <c r="B64" s="246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AB64" s="240"/>
      <c r="AC64" s="4"/>
      <c r="AD64" s="4"/>
    </row>
    <row r="65" spans="1:30" x14ac:dyDescent="0.25">
      <c r="A65" s="4"/>
      <c r="B65" s="246" t="s">
        <v>236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AB65" s="240"/>
      <c r="AC65" s="4"/>
      <c r="AD65" s="4"/>
    </row>
    <row r="66" spans="1:30" x14ac:dyDescent="0.25">
      <c r="A66" s="4"/>
      <c r="B66" s="246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B66" s="240"/>
      <c r="AC66" s="4"/>
      <c r="AD66" s="4"/>
    </row>
    <row r="67" spans="1:30" x14ac:dyDescent="0.25">
      <c r="A67" s="4"/>
      <c r="B67" s="246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246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246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246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246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246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246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x14ac:dyDescent="0.25">
      <c r="A76" s="4"/>
      <c r="B76" s="246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B76" s="240"/>
      <c r="AC76" s="4"/>
      <c r="AD76" s="4"/>
    </row>
    <row r="77" spans="1:30" x14ac:dyDescent="0.25">
      <c r="A77" s="4"/>
      <c r="B77" s="246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B77" s="240"/>
      <c r="AC77" s="4"/>
      <c r="AD77" s="4"/>
    </row>
    <row r="78" spans="1:30" x14ac:dyDescent="0.25">
      <c r="A78" s="4"/>
      <c r="B78" s="246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B78" s="240"/>
      <c r="AC78" s="4"/>
      <c r="AD78" s="4"/>
    </row>
    <row r="79" spans="1:30" x14ac:dyDescent="0.25">
      <c r="A79" s="4"/>
      <c r="B79" s="246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B79" s="240"/>
      <c r="AC79" s="4"/>
      <c r="AD79" s="4"/>
    </row>
    <row r="80" spans="1:30" x14ac:dyDescent="0.25">
      <c r="A80" s="4"/>
      <c r="B80" s="246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B80" s="240"/>
      <c r="AC80" s="4"/>
      <c r="AD80" s="4"/>
    </row>
    <row r="81" spans="1:30" x14ac:dyDescent="0.25">
      <c r="A81" s="4"/>
      <c r="B81" s="246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B81" s="240"/>
      <c r="AC81" s="4"/>
      <c r="AD81" s="4"/>
    </row>
    <row r="82" spans="1:30" x14ac:dyDescent="0.25">
      <c r="A82" s="4"/>
      <c r="B82" s="245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AB82" s="240"/>
      <c r="AC82" s="4"/>
      <c r="AD82" s="4"/>
    </row>
    <row r="83" spans="1:30" x14ac:dyDescent="0.25">
      <c r="A83" s="4"/>
      <c r="B83" s="244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AB83" s="240"/>
      <c r="AC83" s="4"/>
      <c r="AD83" s="4"/>
    </row>
    <row r="84" spans="1:30" x14ac:dyDescent="0.25">
      <c r="A84" s="4"/>
      <c r="B84" s="244"/>
      <c r="C84" s="242"/>
      <c r="D84" s="242"/>
      <c r="E84" s="242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AB84" s="240"/>
      <c r="AC84" s="4"/>
      <c r="AD84" s="4"/>
    </row>
    <row r="85" spans="1:30" x14ac:dyDescent="0.25">
      <c r="A85" s="4"/>
      <c r="B85" s="244"/>
      <c r="C85" s="243"/>
      <c r="D85" s="242"/>
      <c r="E85" s="242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AB85" s="240"/>
      <c r="AC85" s="4"/>
      <c r="AD85" s="4"/>
    </row>
    <row r="86" spans="1:30" x14ac:dyDescent="0.25">
      <c r="A86" s="4"/>
      <c r="B86" s="244"/>
      <c r="C86" s="243"/>
      <c r="D86" s="242"/>
      <c r="E86" s="242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AB86" s="240"/>
      <c r="AC86" s="4"/>
      <c r="AD86" s="4"/>
    </row>
    <row r="87" spans="1:30" x14ac:dyDescent="0.25">
      <c r="A87" s="4"/>
      <c r="B87" s="239"/>
      <c r="C87" s="238"/>
      <c r="D87" s="237"/>
      <c r="E87" s="237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5"/>
      <c r="W87" s="235"/>
      <c r="X87" s="235"/>
      <c r="Y87" s="235"/>
      <c r="Z87" s="235"/>
      <c r="AA87" s="235"/>
      <c r="AB87" s="234"/>
      <c r="AC87" s="4"/>
      <c r="AD87" s="4"/>
    </row>
    <row r="88" spans="1:30" x14ac:dyDescent="0.25">
      <c r="A88" s="4"/>
      <c r="B88" s="232"/>
      <c r="C88" s="233"/>
      <c r="D88" s="232"/>
      <c r="E88" s="232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232"/>
      <c r="C89" s="233"/>
      <c r="D89" s="232"/>
      <c r="E89" s="232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225" t="s">
        <v>80</v>
      </c>
      <c r="C91" s="230">
        <v>45575</v>
      </c>
      <c r="D91" s="225" t="s">
        <v>76</v>
      </c>
      <c r="E91" s="229" t="s">
        <v>235</v>
      </c>
      <c r="F91" s="229"/>
      <c r="G91" s="229"/>
      <c r="H91" s="225"/>
      <c r="I91" s="225" t="s">
        <v>77</v>
      </c>
      <c r="J91" s="228" t="s">
        <v>234</v>
      </c>
      <c r="K91" s="228"/>
      <c r="L91" s="228"/>
      <c r="M91" s="228"/>
      <c r="N91" s="225"/>
      <c r="O91" s="225"/>
      <c r="P91" s="225"/>
      <c r="Q91" s="225"/>
      <c r="R91" s="225"/>
      <c r="S91" s="225"/>
      <c r="T91" s="225"/>
      <c r="U91" s="225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4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225"/>
      <c r="C93" s="225"/>
      <c r="D93" s="225" t="s">
        <v>79</v>
      </c>
      <c r="E93" s="227"/>
      <c r="F93" s="227"/>
      <c r="G93" s="227"/>
      <c r="H93" s="225"/>
      <c r="I93" s="225" t="s">
        <v>79</v>
      </c>
      <c r="J93" s="226"/>
      <c r="K93" s="226"/>
      <c r="L93" s="226"/>
      <c r="M93" s="226"/>
      <c r="N93" s="225"/>
      <c r="O93" s="225"/>
      <c r="P93" s="225"/>
      <c r="Q93" s="225"/>
      <c r="R93" s="225"/>
      <c r="S93" s="225"/>
      <c r="T93" s="225"/>
      <c r="U93" s="225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225"/>
      <c r="C94" s="225"/>
      <c r="D94" s="225"/>
      <c r="E94" s="227"/>
      <c r="F94" s="227"/>
      <c r="G94" s="227"/>
      <c r="H94" s="225"/>
      <c r="I94" s="225"/>
      <c r="J94" s="226"/>
      <c r="K94" s="226"/>
      <c r="L94" s="226"/>
      <c r="M94" s="226"/>
      <c r="N94" s="225"/>
      <c r="O94" s="225"/>
      <c r="P94" s="225"/>
      <c r="Q94" s="225"/>
      <c r="R94" s="225"/>
      <c r="S94" s="225"/>
      <c r="T94" s="225"/>
      <c r="U94" s="225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4"/>
      <c r="W96" s="4"/>
      <c r="X96" s="4"/>
      <c r="Y96" s="4"/>
      <c r="Z96" s="4"/>
      <c r="AA96" s="4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1" priority="3" operator="equal">
      <formula>0</formula>
    </cfRule>
    <cfRule type="containsErrors" dxfId="30" priority="4">
      <formula>ISERROR(AB15)</formula>
    </cfRule>
  </conditionalFormatting>
  <conditionalFormatting sqref="AB28:AB41">
    <cfRule type="cellIs" dxfId="29" priority="1" operator="equal">
      <formula>0</formula>
    </cfRule>
    <cfRule type="containsErrors" dxfId="2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276"/>
  <sheetViews>
    <sheetView showGridLines="0" zoomScale="80" zoomScaleNormal="80" zoomScaleSheetLayoutView="80" workbookViewId="0">
      <selection activeCell="V30" sqref="V3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3.57031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244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46789707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243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176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2582.1999999999998</v>
      </c>
      <c r="G15" s="63">
        <v>2582.1999999999998</v>
      </c>
      <c r="H15" s="66">
        <v>186.4</v>
      </c>
      <c r="I15" s="14">
        <f>G15+H15</f>
        <v>2768.6</v>
      </c>
      <c r="J15" s="687"/>
      <c r="K15" s="686"/>
      <c r="L15" s="685">
        <v>2000</v>
      </c>
      <c r="M15" s="684">
        <f>SUM(J15:L15)</f>
        <v>2000</v>
      </c>
      <c r="N15" s="679">
        <v>200</v>
      </c>
      <c r="O15" s="621">
        <f>M15+N15</f>
        <v>2200</v>
      </c>
      <c r="P15" s="12"/>
      <c r="Q15" s="13"/>
      <c r="R15" s="646">
        <v>1532.2</v>
      </c>
      <c r="S15" s="63">
        <v>1532.2</v>
      </c>
      <c r="T15" s="66">
        <v>107.7</v>
      </c>
      <c r="U15" s="14">
        <f>S15+T15</f>
        <v>1639.9</v>
      </c>
      <c r="V15" s="12"/>
      <c r="W15" s="13"/>
      <c r="X15" s="56">
        <v>2000</v>
      </c>
      <c r="Y15" s="63">
        <f>SUM(V15:X15)</f>
        <v>2000</v>
      </c>
      <c r="Z15" s="66">
        <v>200</v>
      </c>
      <c r="AA15" s="14">
        <f>Y15+Z15</f>
        <v>2200</v>
      </c>
      <c r="AB15" s="620">
        <f>IFERROR(AA15/O15,0)</f>
        <v>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6109</v>
      </c>
      <c r="E16" s="16"/>
      <c r="F16" s="16"/>
      <c r="G16" s="64">
        <f>SUM(D16:F16)</f>
        <v>6109</v>
      </c>
      <c r="H16" s="67"/>
      <c r="I16" s="14">
        <f>G16+H16</f>
        <v>6109</v>
      </c>
      <c r="J16" s="683">
        <v>6432.3</v>
      </c>
      <c r="K16" s="674"/>
      <c r="L16" s="674"/>
      <c r="M16" s="672">
        <f>SUM(J16:L16)</f>
        <v>6432.3</v>
      </c>
      <c r="N16" s="682"/>
      <c r="O16" s="621">
        <f>M16+N16</f>
        <v>6432.3</v>
      </c>
      <c r="P16" s="57">
        <v>3104.6</v>
      </c>
      <c r="Q16" s="645"/>
      <c r="R16" s="16"/>
      <c r="S16" s="64">
        <f>SUM(P16:R16)</f>
        <v>3104.6</v>
      </c>
      <c r="T16" s="67"/>
      <c r="U16" s="14">
        <f>S16+T16</f>
        <v>3104.6</v>
      </c>
      <c r="V16" s="57">
        <v>6209</v>
      </c>
      <c r="W16" s="16"/>
      <c r="X16" s="16"/>
      <c r="Y16" s="64">
        <f>SUM(V16:X16)</f>
        <v>6209</v>
      </c>
      <c r="Z16" s="67"/>
      <c r="AA16" s="14">
        <f>Y16+Z16</f>
        <v>6209</v>
      </c>
      <c r="AB16" s="620">
        <f>IFERROR(AA16/O16,0)</f>
        <v>0.96528457938839918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301.60000000000002</v>
      </c>
      <c r="E17" s="17"/>
      <c r="F17" s="17"/>
      <c r="G17" s="64">
        <f>SUM(D17:F17)</f>
        <v>301.60000000000002</v>
      </c>
      <c r="H17" s="68"/>
      <c r="I17" s="14">
        <f>G17+H17</f>
        <v>301.60000000000002</v>
      </c>
      <c r="J17" s="421">
        <v>509</v>
      </c>
      <c r="K17" s="677"/>
      <c r="L17" s="677"/>
      <c r="M17" s="672">
        <f>SUM(J17:L17)</f>
        <v>509</v>
      </c>
      <c r="N17" s="681"/>
      <c r="O17" s="621">
        <f>M17+N17</f>
        <v>509</v>
      </c>
      <c r="P17" s="58">
        <v>75.900000000000006</v>
      </c>
      <c r="Q17" s="17"/>
      <c r="R17" s="17"/>
      <c r="S17" s="64">
        <f>SUM(P17:R17)</f>
        <v>75.900000000000006</v>
      </c>
      <c r="T17" s="68"/>
      <c r="U17" s="14">
        <f>S17+T17</f>
        <v>75.900000000000006</v>
      </c>
      <c r="V17" s="58">
        <v>193</v>
      </c>
      <c r="W17" s="17"/>
      <c r="X17" s="17"/>
      <c r="Y17" s="64">
        <f>SUM(V17:X17)</f>
        <v>193</v>
      </c>
      <c r="Z17" s="68"/>
      <c r="AA17" s="14">
        <f>Y17+Z17</f>
        <v>193</v>
      </c>
      <c r="AB17" s="620">
        <f>IFERROR(AA17/O17,0)</f>
        <v>0.37917485265225931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46213.8</v>
      </c>
      <c r="F18" s="17"/>
      <c r="G18" s="64">
        <f>SUM(D18:F18)</f>
        <v>46213.8</v>
      </c>
      <c r="H18" s="66"/>
      <c r="I18" s="14">
        <f>G18+H18</f>
        <v>46213.8</v>
      </c>
      <c r="J18" s="675"/>
      <c r="K18" s="680">
        <v>45398</v>
      </c>
      <c r="L18" s="677"/>
      <c r="M18" s="672">
        <f>SUM(J18:L18)</f>
        <v>45398</v>
      </c>
      <c r="N18" s="679"/>
      <c r="O18" s="621">
        <f>M18+N18</f>
        <v>45398</v>
      </c>
      <c r="P18" s="18"/>
      <c r="Q18" s="59">
        <v>22021.7</v>
      </c>
      <c r="R18" s="17"/>
      <c r="S18" s="64">
        <f>SUM(P18:R18)</f>
        <v>22021.7</v>
      </c>
      <c r="T18" s="66"/>
      <c r="U18" s="14">
        <f>S18+T18</f>
        <v>22021.7</v>
      </c>
      <c r="V18" s="18"/>
      <c r="W18" s="59">
        <v>44920</v>
      </c>
      <c r="X18" s="17"/>
      <c r="Y18" s="64">
        <f>SUM(V18:X18)</f>
        <v>44920</v>
      </c>
      <c r="Z18" s="66"/>
      <c r="AA18" s="14">
        <f>Y18+Z18</f>
        <v>44920</v>
      </c>
      <c r="AB18" s="620">
        <f>IFERROR(AA18/O18,0)</f>
        <v>0.9894709018018415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1102.0999999999999</v>
      </c>
      <c r="G19" s="64">
        <v>1102.0999999999999</v>
      </c>
      <c r="H19" s="69"/>
      <c r="I19" s="14">
        <f>G19+H19</f>
        <v>1102.0999999999999</v>
      </c>
      <c r="J19" s="678"/>
      <c r="K19" s="677"/>
      <c r="L19" s="415">
        <v>500</v>
      </c>
      <c r="M19" s="672">
        <f>SUM(J19:L19)</f>
        <v>500</v>
      </c>
      <c r="N19" s="676"/>
      <c r="O19" s="621">
        <f>M19+N19</f>
        <v>500</v>
      </c>
      <c r="P19" s="19"/>
      <c r="Q19" s="17"/>
      <c r="R19" s="60">
        <v>551.1</v>
      </c>
      <c r="S19" s="64">
        <f>SUM(P19:R19)</f>
        <v>551.1</v>
      </c>
      <c r="T19" s="69"/>
      <c r="U19" s="14">
        <f>S19+T19</f>
        <v>551.1</v>
      </c>
      <c r="V19" s="19"/>
      <c r="W19" s="17"/>
      <c r="X19" s="60">
        <v>500</v>
      </c>
      <c r="Y19" s="64">
        <f>SUM(V19:X19)</f>
        <v>500</v>
      </c>
      <c r="Z19" s="69"/>
      <c r="AA19" s="14">
        <f>Y19+Z19</f>
        <v>500</v>
      </c>
      <c r="AB19" s="620">
        <f>IFERROR(AA19/O19,0)</f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137.19999999999999</v>
      </c>
      <c r="G20" s="64">
        <v>137.19999999999999</v>
      </c>
      <c r="H20" s="69"/>
      <c r="I20" s="14">
        <f>G20+H20</f>
        <v>137.19999999999999</v>
      </c>
      <c r="J20" s="675"/>
      <c r="K20" s="674"/>
      <c r="L20" s="673">
        <v>50</v>
      </c>
      <c r="M20" s="672">
        <f>SUM(J20:L20)</f>
        <v>50</v>
      </c>
      <c r="N20" s="676"/>
      <c r="O20" s="621">
        <f>M20+N20</f>
        <v>50</v>
      </c>
      <c r="P20" s="18"/>
      <c r="Q20" s="16"/>
      <c r="R20" s="61">
        <v>28</v>
      </c>
      <c r="S20" s="64">
        <f>SUM(P20:R20)</f>
        <v>28</v>
      </c>
      <c r="T20" s="69"/>
      <c r="U20" s="14">
        <f>S20+T20</f>
        <v>28</v>
      </c>
      <c r="V20" s="18"/>
      <c r="W20" s="16"/>
      <c r="X20" s="61">
        <v>50</v>
      </c>
      <c r="Y20" s="64">
        <f>SUM(V20:X20)</f>
        <v>50</v>
      </c>
      <c r="Z20" s="69"/>
      <c r="AA20" s="14">
        <f>Y20+Z20</f>
        <v>50</v>
      </c>
      <c r="AB20" s="620">
        <f>IFERROR(AA20/O20,0)</f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740.3</v>
      </c>
      <c r="G21" s="64">
        <v>740.3</v>
      </c>
      <c r="H21" s="70"/>
      <c r="I21" s="14">
        <f>G21+H21</f>
        <v>740.3</v>
      </c>
      <c r="J21" s="675"/>
      <c r="K21" s="674"/>
      <c r="L21" s="673"/>
      <c r="M21" s="672">
        <f>SUM(J21:L21)</f>
        <v>0</v>
      </c>
      <c r="N21" s="671"/>
      <c r="O21" s="621">
        <f>M21+N21</f>
        <v>0</v>
      </c>
      <c r="P21" s="18"/>
      <c r="Q21" s="16"/>
      <c r="R21" s="61">
        <v>341.7</v>
      </c>
      <c r="S21" s="64">
        <v>341.7</v>
      </c>
      <c r="T21" s="70"/>
      <c r="U21" s="14">
        <f>S21+T21</f>
        <v>341.7</v>
      </c>
      <c r="V21" s="18"/>
      <c r="W21" s="16"/>
      <c r="X21" s="61"/>
      <c r="Y21" s="64">
        <f>SUM(V21:X21)</f>
        <v>0</v>
      </c>
      <c r="Z21" s="70"/>
      <c r="AA21" s="14">
        <f>Y21+Z21</f>
        <v>0</v>
      </c>
      <c r="AB21" s="620">
        <f>IFERROR(AA21/O21,0)</f>
        <v>0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/>
      <c r="I22" s="14">
        <f>G22+H22</f>
        <v>0</v>
      </c>
      <c r="J22" s="675"/>
      <c r="K22" s="674"/>
      <c r="L22" s="673"/>
      <c r="M22" s="672">
        <f>SUM(J22:L22)</f>
        <v>0</v>
      </c>
      <c r="N22" s="671"/>
      <c r="O22" s="621">
        <f>M22+N22</f>
        <v>0</v>
      </c>
      <c r="P22" s="18"/>
      <c r="Q22" s="16"/>
      <c r="R22" s="61"/>
      <c r="S22" s="64">
        <f>SUM(P22:R22)</f>
        <v>0</v>
      </c>
      <c r="T22" s="70">
        <v>0</v>
      </c>
      <c r="U22" s="14">
        <f>S22+T22</f>
        <v>0</v>
      </c>
      <c r="V22" s="18"/>
      <c r="W22" s="16"/>
      <c r="X22" s="61"/>
      <c r="Y22" s="64">
        <f>SUM(V22:X22)</f>
        <v>0</v>
      </c>
      <c r="Z22" s="70"/>
      <c r="AA22" s="14">
        <f>Y22+Z22</f>
        <v>0</v>
      </c>
      <c r="AB22" s="620">
        <f>IFERROR(AA22/O22,0)</f>
        <v>0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4">
        <f>SUM(D23:F23)</f>
        <v>0</v>
      </c>
      <c r="H23" s="71"/>
      <c r="I23" s="23">
        <f>G23+H23</f>
        <v>0</v>
      </c>
      <c r="J23" s="670"/>
      <c r="K23" s="669"/>
      <c r="L23" s="668"/>
      <c r="M23" s="667">
        <f>SUM(J23:L23)</f>
        <v>0</v>
      </c>
      <c r="N23" s="666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6410.6</v>
      </c>
      <c r="E24" s="27">
        <f>SUM(E15:E21)</f>
        <v>46213.8</v>
      </c>
      <c r="F24" s="27">
        <f>SUM(F15:F21)</f>
        <v>4561.7999999999993</v>
      </c>
      <c r="G24" s="28">
        <f>SUM(D24:F24)</f>
        <v>57186.2</v>
      </c>
      <c r="H24" s="29">
        <f>SUM(H15:H21)</f>
        <v>186.4</v>
      </c>
      <c r="I24" s="29">
        <f>SUM(I15:I21)</f>
        <v>57372.6</v>
      </c>
      <c r="J24" s="665">
        <f>SUM(J15:J21)</f>
        <v>6941.3</v>
      </c>
      <c r="K24" s="664">
        <f>SUM(K15:K21)</f>
        <v>45398</v>
      </c>
      <c r="L24" s="664">
        <f>SUM(L15:L21)</f>
        <v>2550</v>
      </c>
      <c r="M24" s="663">
        <f>SUM(J24:L24)</f>
        <v>54889.3</v>
      </c>
      <c r="N24" s="644">
        <f>SUM(N15:N21)</f>
        <v>200</v>
      </c>
      <c r="O24" s="644">
        <f>SUM(O15:O21)</f>
        <v>55089.3</v>
      </c>
      <c r="P24" s="26">
        <f>SUM(P15:P21)</f>
        <v>3180.5</v>
      </c>
      <c r="Q24" s="27">
        <f>SUM(Q15:Q21)</f>
        <v>22021.7</v>
      </c>
      <c r="R24" s="27">
        <f>SUM(R15:R21)</f>
        <v>2453</v>
      </c>
      <c r="S24" s="28">
        <f>SUM(P24:R24)</f>
        <v>27655.200000000001</v>
      </c>
      <c r="T24" s="29">
        <f>SUM(T15:T21)</f>
        <v>107.7</v>
      </c>
      <c r="U24" s="29">
        <f>SUM(U15:U21)</f>
        <v>27762.899999999998</v>
      </c>
      <c r="V24" s="26">
        <f>SUM(V15:V21)</f>
        <v>6402</v>
      </c>
      <c r="W24" s="27">
        <f>SUM(W15:W21)</f>
        <v>44920</v>
      </c>
      <c r="X24" s="27">
        <f>SUM(X15:X21)</f>
        <v>2550</v>
      </c>
      <c r="Y24" s="28">
        <f>SUM(V24:X24)</f>
        <v>53872</v>
      </c>
      <c r="Z24" s="29">
        <f>SUM(Z15:Z21)</f>
        <v>200</v>
      </c>
      <c r="AA24" s="29">
        <f>SUM(AA15:AA21)</f>
        <v>54072</v>
      </c>
      <c r="AB24" s="643">
        <f>IFERROR(AA24/O24,0)</f>
        <v>0.98153361905124947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638" t="s">
        <v>176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632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625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962.3</v>
      </c>
      <c r="E28" s="72"/>
      <c r="F28" s="72"/>
      <c r="G28" s="73">
        <f>SUM(D28:F28)</f>
        <v>962.3</v>
      </c>
      <c r="H28" s="73"/>
      <c r="I28" s="37">
        <f>G28+H28</f>
        <v>962.3</v>
      </c>
      <c r="J28" s="662">
        <v>240</v>
      </c>
      <c r="K28" s="661"/>
      <c r="L28" s="661"/>
      <c r="M28" s="660">
        <f>SUM(J28:L28)</f>
        <v>240</v>
      </c>
      <c r="N28" s="660"/>
      <c r="O28" s="624">
        <f>M28+N28</f>
        <v>240</v>
      </c>
      <c r="P28" s="80">
        <v>639.20000000000005</v>
      </c>
      <c r="Q28" s="72"/>
      <c r="R28" s="72"/>
      <c r="S28" s="73">
        <f>SUM(P28:R28)</f>
        <v>639.20000000000005</v>
      </c>
      <c r="T28" s="73"/>
      <c r="U28" s="37">
        <f>S28+T28</f>
        <v>639.20000000000005</v>
      </c>
      <c r="V28" s="80">
        <v>240</v>
      </c>
      <c r="W28" s="72"/>
      <c r="X28" s="72"/>
      <c r="Y28" s="73">
        <f>SUM(V28:X28)</f>
        <v>240</v>
      </c>
      <c r="Z28" s="73"/>
      <c r="AA28" s="37">
        <f>Y28+Z28</f>
        <v>240</v>
      </c>
      <c r="AB28" s="620">
        <f>IFERROR(AA28/O28,0)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3574.1</v>
      </c>
      <c r="E29" s="74">
        <v>489.9</v>
      </c>
      <c r="F29" s="74"/>
      <c r="G29" s="75">
        <f>SUM(D29:F29)</f>
        <v>4064</v>
      </c>
      <c r="H29" s="76"/>
      <c r="I29" s="14">
        <f>G29+H29</f>
        <v>4064</v>
      </c>
      <c r="J29" s="659">
        <v>835</v>
      </c>
      <c r="K29" s="658">
        <v>391.4</v>
      </c>
      <c r="L29" s="658">
        <v>1830</v>
      </c>
      <c r="M29" s="654">
        <f>SUM(J29:L29)</f>
        <v>3056.4</v>
      </c>
      <c r="N29" s="657">
        <v>2</v>
      </c>
      <c r="O29" s="621">
        <f>M29+N29</f>
        <v>3058.4</v>
      </c>
      <c r="P29" s="81">
        <v>390.7</v>
      </c>
      <c r="Q29" s="74">
        <v>53</v>
      </c>
      <c r="R29" s="74">
        <v>1455.2</v>
      </c>
      <c r="S29" s="75">
        <f>SUM(P29:R29)</f>
        <v>1898.9</v>
      </c>
      <c r="T29" s="76"/>
      <c r="U29" s="14">
        <f>S29+T29</f>
        <v>1898.9</v>
      </c>
      <c r="V29" s="81">
        <v>1088</v>
      </c>
      <c r="W29" s="74">
        <v>200</v>
      </c>
      <c r="X29" s="74">
        <v>1830</v>
      </c>
      <c r="Y29" s="75">
        <f>SUM(V29:X29)</f>
        <v>3118</v>
      </c>
      <c r="Z29" s="76">
        <v>2</v>
      </c>
      <c r="AA29" s="14">
        <f>Y29+Z29</f>
        <v>3120</v>
      </c>
      <c r="AB29" s="620">
        <f>IFERROR(AA29/O29,0)</f>
        <v>1.0201412503269682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2035</v>
      </c>
      <c r="E30" s="77"/>
      <c r="F30" s="77"/>
      <c r="G30" s="75">
        <f>SUM(D30:F30)</f>
        <v>2035</v>
      </c>
      <c r="H30" s="75">
        <v>38.1</v>
      </c>
      <c r="I30" s="14">
        <f>G30+H30</f>
        <v>2073.1</v>
      </c>
      <c r="J30" s="656">
        <v>2586.3000000000002</v>
      </c>
      <c r="K30" s="486"/>
      <c r="L30" s="655"/>
      <c r="M30" s="654">
        <f>SUM(J30:L30)</f>
        <v>2586.3000000000002</v>
      </c>
      <c r="N30" s="654">
        <v>198</v>
      </c>
      <c r="O30" s="621">
        <f>M30+N30</f>
        <v>2784.3</v>
      </c>
      <c r="P30" s="82">
        <v>1593.8</v>
      </c>
      <c r="Q30" s="77"/>
      <c r="R30" s="77"/>
      <c r="S30" s="75">
        <f>SUM(P30:R30)</f>
        <v>1593.8</v>
      </c>
      <c r="T30" s="75">
        <v>23</v>
      </c>
      <c r="U30" s="14">
        <f>S30+T30</f>
        <v>1616.8</v>
      </c>
      <c r="V30" s="82">
        <v>2416</v>
      </c>
      <c r="W30" s="77"/>
      <c r="X30" s="77"/>
      <c r="Y30" s="75">
        <f>SUM(V30:X30)</f>
        <v>2416</v>
      </c>
      <c r="Z30" s="75">
        <v>198</v>
      </c>
      <c r="AA30" s="14">
        <f>Y30+Z30</f>
        <v>2614</v>
      </c>
      <c r="AB30" s="620">
        <f>IFERROR(AA30/O30,0)</f>
        <v>0.93883561397837867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1089</v>
      </c>
      <c r="E31" s="77">
        <v>726.1</v>
      </c>
      <c r="F31" s="77"/>
      <c r="G31" s="75">
        <f>SUM(D31:F31)</f>
        <v>1815.1</v>
      </c>
      <c r="H31" s="75"/>
      <c r="I31" s="14">
        <f>G31+H31</f>
        <v>1815.1</v>
      </c>
      <c r="J31" s="656">
        <v>524.6</v>
      </c>
      <c r="K31" s="655">
        <v>868.4</v>
      </c>
      <c r="L31" s="655">
        <v>120</v>
      </c>
      <c r="M31" s="654">
        <f>SUM(J31:L31)</f>
        <v>1513</v>
      </c>
      <c r="N31" s="654"/>
      <c r="O31" s="621">
        <f>M31+N31</f>
        <v>1513</v>
      </c>
      <c r="P31" s="82">
        <v>374.6</v>
      </c>
      <c r="Q31" s="77">
        <v>418.5</v>
      </c>
      <c r="R31" s="77"/>
      <c r="S31" s="75">
        <f>SUM(P31:R31)</f>
        <v>793.1</v>
      </c>
      <c r="T31" s="75"/>
      <c r="U31" s="14">
        <f>S31+T31</f>
        <v>793.1</v>
      </c>
      <c r="V31" s="82">
        <v>650</v>
      </c>
      <c r="W31" s="77">
        <v>750</v>
      </c>
      <c r="X31" s="77">
        <v>120</v>
      </c>
      <c r="Y31" s="75">
        <f>SUM(V31:X31)</f>
        <v>1520</v>
      </c>
      <c r="Z31" s="75"/>
      <c r="AA31" s="14">
        <f>Y31+Z31</f>
        <v>1520</v>
      </c>
      <c r="AB31" s="620">
        <f>IFERROR(AA31/O31,0)</f>
        <v>1.0046265697290151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130.6</v>
      </c>
      <c r="E32" s="77">
        <v>32777.9</v>
      </c>
      <c r="F32" s="77">
        <v>18.8</v>
      </c>
      <c r="G32" s="75">
        <f>SUM(D32:F32)</f>
        <v>32927.300000000003</v>
      </c>
      <c r="H32" s="75"/>
      <c r="I32" s="14">
        <f>G32+H32</f>
        <v>32927.300000000003</v>
      </c>
      <c r="J32" s="656">
        <v>157.1</v>
      </c>
      <c r="K32" s="655">
        <v>32279.599999999999</v>
      </c>
      <c r="L32" s="655"/>
      <c r="M32" s="654">
        <f>SUM(J32:L32)</f>
        <v>32436.699999999997</v>
      </c>
      <c r="N32" s="654"/>
      <c r="O32" s="621">
        <f>M32+N32</f>
        <v>32436.699999999997</v>
      </c>
      <c r="P32" s="83"/>
      <c r="Q32" s="77">
        <v>14024.5</v>
      </c>
      <c r="R32" s="77"/>
      <c r="S32" s="75">
        <f>SUM(P32:R32)</f>
        <v>14024.5</v>
      </c>
      <c r="T32" s="75"/>
      <c r="U32" s="14">
        <f>S32+T32</f>
        <v>14024.5</v>
      </c>
      <c r="V32" s="83"/>
      <c r="W32" s="77">
        <v>32420</v>
      </c>
      <c r="X32" s="77"/>
      <c r="Y32" s="75">
        <f>SUM(V32:X32)</f>
        <v>32420</v>
      </c>
      <c r="Z32" s="75"/>
      <c r="AA32" s="14">
        <f>Y32+Z32</f>
        <v>32420</v>
      </c>
      <c r="AB32" s="620">
        <f>IFERROR(AA32/O32,0)</f>
        <v>0.99948515107887059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130.6</v>
      </c>
      <c r="E33" s="77">
        <v>32711.3</v>
      </c>
      <c r="F33" s="77">
        <v>18.8</v>
      </c>
      <c r="G33" s="75">
        <f>SUM(D33:F33)</f>
        <v>32860.700000000004</v>
      </c>
      <c r="H33" s="75"/>
      <c r="I33" s="14">
        <f>G33+H33</f>
        <v>32860.700000000004</v>
      </c>
      <c r="J33" s="656">
        <v>134</v>
      </c>
      <c r="K33" s="655">
        <v>32091.599999999999</v>
      </c>
      <c r="L33" s="655"/>
      <c r="M33" s="654">
        <f>SUM(J33:L33)</f>
        <v>32225.599999999999</v>
      </c>
      <c r="N33" s="654"/>
      <c r="O33" s="621">
        <f>M33+N33</f>
        <v>32225.599999999999</v>
      </c>
      <c r="P33" s="83"/>
      <c r="Q33" s="77">
        <v>13932.8</v>
      </c>
      <c r="R33" s="77"/>
      <c r="S33" s="75">
        <f>SUM(P33:R33)</f>
        <v>13932.8</v>
      </c>
      <c r="T33" s="75"/>
      <c r="U33" s="14">
        <f>S33+T33</f>
        <v>13932.8</v>
      </c>
      <c r="V33" s="83"/>
      <c r="W33" s="77">
        <v>32240</v>
      </c>
      <c r="X33" s="77"/>
      <c r="Y33" s="75">
        <f>SUM(V33:X33)</f>
        <v>32240</v>
      </c>
      <c r="Z33" s="75"/>
      <c r="AA33" s="14">
        <f>Y33+Z33</f>
        <v>32240</v>
      </c>
      <c r="AB33" s="620">
        <f>IFERROR(AA33/O33,0)</f>
        <v>1.0004468497095478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/>
      <c r="E34" s="77">
        <v>66.599999999999994</v>
      </c>
      <c r="F34" s="77"/>
      <c r="G34" s="75">
        <f>SUM(D34:F34)</f>
        <v>66.599999999999994</v>
      </c>
      <c r="H34" s="75"/>
      <c r="I34" s="14">
        <f>G34+H34</f>
        <v>66.599999999999994</v>
      </c>
      <c r="J34" s="656">
        <v>23.1</v>
      </c>
      <c r="K34" s="655">
        <v>188</v>
      </c>
      <c r="L34" s="655"/>
      <c r="M34" s="654">
        <f>SUM(J34:L34)</f>
        <v>211.1</v>
      </c>
      <c r="N34" s="654"/>
      <c r="O34" s="621">
        <f>M34+N34</f>
        <v>211.1</v>
      </c>
      <c r="P34" s="83"/>
      <c r="Q34" s="77">
        <v>91.7</v>
      </c>
      <c r="R34" s="77"/>
      <c r="S34" s="75">
        <f>SUM(P34:R34)</f>
        <v>91.7</v>
      </c>
      <c r="T34" s="75"/>
      <c r="U34" s="14">
        <f>S34+T34</f>
        <v>91.7</v>
      </c>
      <c r="V34" s="83"/>
      <c r="W34" s="77">
        <v>180</v>
      </c>
      <c r="X34" s="77"/>
      <c r="Y34" s="75">
        <f>SUM(V34:X34)</f>
        <v>180</v>
      </c>
      <c r="Z34" s="75"/>
      <c r="AA34" s="14">
        <f>Y34+Z34</f>
        <v>180</v>
      </c>
      <c r="AB34" s="620">
        <f>IFERROR(AA34/O34,0)</f>
        <v>0.85267645665561342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44.2</v>
      </c>
      <c r="E35" s="77">
        <v>10870</v>
      </c>
      <c r="F35" s="77">
        <v>6.4</v>
      </c>
      <c r="G35" s="75">
        <f>SUM(D35:F35)</f>
        <v>10920.6</v>
      </c>
      <c r="H35" s="75"/>
      <c r="I35" s="14">
        <f>G35+H35</f>
        <v>10920.6</v>
      </c>
      <c r="J35" s="656">
        <v>45.3</v>
      </c>
      <c r="K35" s="655">
        <v>10777.9</v>
      </c>
      <c r="L35" s="655"/>
      <c r="M35" s="654">
        <f>SUM(J35:L35)</f>
        <v>10823.199999999999</v>
      </c>
      <c r="N35" s="654"/>
      <c r="O35" s="621">
        <f>M35+N35</f>
        <v>10823.199999999999</v>
      </c>
      <c r="P35" s="83"/>
      <c r="Q35" s="77">
        <v>4659.3999999999996</v>
      </c>
      <c r="R35" s="77"/>
      <c r="S35" s="75">
        <f>SUM(P35:R35)</f>
        <v>4659.3999999999996</v>
      </c>
      <c r="T35" s="75"/>
      <c r="U35" s="14">
        <f>S35+T35</f>
        <v>4659.3999999999996</v>
      </c>
      <c r="V35" s="83"/>
      <c r="W35" s="77">
        <v>10900</v>
      </c>
      <c r="X35" s="77"/>
      <c r="Y35" s="75">
        <f>SUM(V35:X35)</f>
        <v>10900</v>
      </c>
      <c r="Z35" s="75"/>
      <c r="AA35" s="14">
        <f>Y35+Z35</f>
        <v>10900</v>
      </c>
      <c r="AB35" s="620">
        <f>IFERROR(AA35/O35,0)</f>
        <v>1.0070958681351172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125.5</v>
      </c>
      <c r="E36" s="77"/>
      <c r="F36" s="77"/>
      <c r="G36" s="75">
        <f>SUM(D36:F36)</f>
        <v>125.5</v>
      </c>
      <c r="H36" s="75"/>
      <c r="I36" s="14">
        <f>G36+H36</f>
        <v>125.5</v>
      </c>
      <c r="J36" s="656">
        <v>4</v>
      </c>
      <c r="K36" s="655"/>
      <c r="L36" s="655"/>
      <c r="M36" s="654">
        <f>SUM(J36:L36)</f>
        <v>4</v>
      </c>
      <c r="N36" s="654"/>
      <c r="O36" s="621">
        <f>M36+N36</f>
        <v>4</v>
      </c>
      <c r="P36" s="82">
        <v>65</v>
      </c>
      <c r="Q36" s="77"/>
      <c r="R36" s="77"/>
      <c r="S36" s="75">
        <f>SUM(P36:R36)</f>
        <v>65</v>
      </c>
      <c r="T36" s="75"/>
      <c r="U36" s="14">
        <f>S36+T36</f>
        <v>65</v>
      </c>
      <c r="V36" s="82">
        <v>4</v>
      </c>
      <c r="W36" s="77"/>
      <c r="X36" s="77"/>
      <c r="Y36" s="75">
        <f>SUM(V36:X36)</f>
        <v>4</v>
      </c>
      <c r="Z36" s="75"/>
      <c r="AA36" s="14">
        <f>Y36+Z36</f>
        <v>4</v>
      </c>
      <c r="AB36" s="620">
        <f>IFERROR(AA36/O36,0)</f>
        <v>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1850</v>
      </c>
      <c r="E37" s="77"/>
      <c r="F37" s="77"/>
      <c r="G37" s="75">
        <f>SUM(D37:F37)</f>
        <v>1850</v>
      </c>
      <c r="H37" s="75"/>
      <c r="I37" s="14">
        <f>G37+H37</f>
        <v>1850</v>
      </c>
      <c r="J37" s="656">
        <v>1864</v>
      </c>
      <c r="K37" s="655"/>
      <c r="L37" s="655">
        <v>500</v>
      </c>
      <c r="M37" s="654">
        <f>SUM(J37:L37)</f>
        <v>2364</v>
      </c>
      <c r="N37" s="654"/>
      <c r="O37" s="621">
        <f>M37+N37</f>
        <v>2364</v>
      </c>
      <c r="P37" s="82">
        <v>915.1</v>
      </c>
      <c r="Q37" s="77"/>
      <c r="R37" s="77"/>
      <c r="S37" s="75">
        <f>SUM(P37:R37)</f>
        <v>915.1</v>
      </c>
      <c r="T37" s="75"/>
      <c r="U37" s="14">
        <f>S37+T37</f>
        <v>915.1</v>
      </c>
      <c r="V37" s="82">
        <v>1205</v>
      </c>
      <c r="W37" s="77"/>
      <c r="X37" s="77">
        <v>500</v>
      </c>
      <c r="Y37" s="75">
        <f>SUM(V37:X37)</f>
        <v>1705</v>
      </c>
      <c r="Z37" s="75"/>
      <c r="AA37" s="14">
        <f>Y37+Z37</f>
        <v>1705</v>
      </c>
      <c r="AB37" s="620">
        <f>IFERROR(AA37/O37,0)</f>
        <v>0.72123519458544838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985.4</v>
      </c>
      <c r="E38" s="311">
        <v>1184.4000000000001</v>
      </c>
      <c r="F38" s="78"/>
      <c r="G38" s="75">
        <f>SUM(D38:F38)</f>
        <v>2169.8000000000002</v>
      </c>
      <c r="H38" s="79">
        <v>0.4</v>
      </c>
      <c r="I38" s="23">
        <f>G38+H38</f>
        <v>2170.2000000000003</v>
      </c>
      <c r="J38" s="653">
        <v>685</v>
      </c>
      <c r="K38" s="652">
        <v>1080.7</v>
      </c>
      <c r="L38" s="652">
        <v>100</v>
      </c>
      <c r="M38" s="651">
        <f>SUM(J38:L38)</f>
        <v>1865.7</v>
      </c>
      <c r="N38" s="651"/>
      <c r="O38" s="619">
        <f>M38+N38</f>
        <v>1865.7</v>
      </c>
      <c r="P38" s="84">
        <v>94.7</v>
      </c>
      <c r="Q38" s="78">
        <v>275.7</v>
      </c>
      <c r="R38" s="78"/>
      <c r="S38" s="79">
        <f>SUM(P38:R38)</f>
        <v>370.4</v>
      </c>
      <c r="T38" s="79">
        <v>20.2</v>
      </c>
      <c r="U38" s="23">
        <f>S38+T38</f>
        <v>390.59999999999997</v>
      </c>
      <c r="V38" s="84">
        <v>799</v>
      </c>
      <c r="W38" s="78">
        <v>650</v>
      </c>
      <c r="X38" s="78">
        <v>100</v>
      </c>
      <c r="Y38" s="79">
        <f>SUM(V38:X38)</f>
        <v>1549</v>
      </c>
      <c r="Z38" s="79"/>
      <c r="AA38" s="23">
        <f>Y38+Z38</f>
        <v>1549</v>
      </c>
      <c r="AB38" s="618">
        <f>IFERROR(AA38/O38,0)</f>
        <v>0.83025138017902123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10796.1</v>
      </c>
      <c r="E39" s="42">
        <f>SUM(E35:E38)+SUM(E28:E32)</f>
        <v>46048.3</v>
      </c>
      <c r="F39" s="42">
        <f>SUM(F35:F38)+SUM(F28:F32)</f>
        <v>25.200000000000003</v>
      </c>
      <c r="G39" s="144">
        <f>SUM(D39:F39)</f>
        <v>56869.599999999999</v>
      </c>
      <c r="H39" s="43">
        <f>SUM(H28:H32)+SUM(H35:H38)</f>
        <v>38.5</v>
      </c>
      <c r="I39" s="44">
        <f>SUM(I35:I38)+SUM(I28:I32)</f>
        <v>56908.100000000006</v>
      </c>
      <c r="J39" s="650">
        <f>SUM(J35:J38)+SUM(J28:J32)</f>
        <v>6941.3000000000011</v>
      </c>
      <c r="K39" s="650">
        <f>SUM(K35:K38)+SUM(K28:K32)</f>
        <v>45398</v>
      </c>
      <c r="L39" s="650">
        <f>SUM(L35:L38)+SUM(L28:L32)</f>
        <v>2550</v>
      </c>
      <c r="M39" s="649">
        <f>SUM(J39:L39)</f>
        <v>54889.3</v>
      </c>
      <c r="N39" s="648">
        <f>SUM(N28:N32)+SUM(N35:N38)</f>
        <v>200</v>
      </c>
      <c r="O39" s="617">
        <f>SUM(O35:O38)+SUM(O28:O32)</f>
        <v>55089.299999999996</v>
      </c>
      <c r="P39" s="42">
        <f>SUM(P35:P38)+SUM(P28:P32)</f>
        <v>4073.0999999999995</v>
      </c>
      <c r="Q39" s="42">
        <f>SUM(Q35:Q38)+SUM(Q28:Q32)</f>
        <v>19431.099999999999</v>
      </c>
      <c r="R39" s="42">
        <f>SUM(R35:R38)+SUM(R28:R32)</f>
        <v>1455.2</v>
      </c>
      <c r="S39" s="144">
        <f>SUM(P39:R39)</f>
        <v>24959.399999999998</v>
      </c>
      <c r="T39" s="43">
        <f>SUM(T28:T32)+SUM(T35:T38)</f>
        <v>43.2</v>
      </c>
      <c r="U39" s="44">
        <f>SUM(U35:U38)+SUM(U28:U32)</f>
        <v>25002.6</v>
      </c>
      <c r="V39" s="42">
        <f>SUM(V35:V38)+SUM(V28:V32)</f>
        <v>6402</v>
      </c>
      <c r="W39" s="42">
        <f>SUM(W35:W38)+SUM(W28:W32)</f>
        <v>44920</v>
      </c>
      <c r="X39" s="42">
        <f>SUM(X35:X38)+SUM(X28:X32)</f>
        <v>2550</v>
      </c>
      <c r="Y39" s="144">
        <f>SUM(V39:X39)</f>
        <v>53872</v>
      </c>
      <c r="Z39" s="43">
        <f>SUM(Z28:Z32)+SUM(Z35:Z38)</f>
        <v>200</v>
      </c>
      <c r="AA39" s="44">
        <f>SUM(AA35:AA38)+SUM(AA28:AA32)</f>
        <v>54072</v>
      </c>
      <c r="AB39" s="616">
        <f>IFERROR(AA39/O39,0)</f>
        <v>0.98153361905124958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-4385.5</v>
      </c>
      <c r="E40" s="109">
        <f>E24-E39</f>
        <v>165.5</v>
      </c>
      <c r="F40" s="109">
        <f>F24-F39</f>
        <v>4536.5999999999995</v>
      </c>
      <c r="G40" s="118">
        <f>G24-G39</f>
        <v>316.59999999999854</v>
      </c>
      <c r="H40" s="118">
        <f>H24-H39</f>
        <v>147.9</v>
      </c>
      <c r="I40" s="119">
        <f>I24-I39</f>
        <v>464.49999999999272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0</v>
      </c>
      <c r="O40" s="614">
        <f>O24-O39</f>
        <v>0</v>
      </c>
      <c r="P40" s="109">
        <f>P24-P39</f>
        <v>-892.59999999999945</v>
      </c>
      <c r="Q40" s="109">
        <f>Q24-Q39</f>
        <v>2590.6000000000022</v>
      </c>
      <c r="R40" s="109">
        <f>R24-R39</f>
        <v>997.8</v>
      </c>
      <c r="S40" s="118">
        <f>S24-S39</f>
        <v>2695.8000000000029</v>
      </c>
      <c r="T40" s="118">
        <f>T24-T39</f>
        <v>64.5</v>
      </c>
      <c r="U40" s="119">
        <f>U24-U39</f>
        <v>2760.2999999999993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-5644.5000000000073</v>
      </c>
      <c r="J41" s="112"/>
      <c r="K41" s="113"/>
      <c r="L41" s="113"/>
      <c r="M41" s="114"/>
      <c r="N41" s="117"/>
      <c r="O41" s="116">
        <f>O40-J16</f>
        <v>-6432.3</v>
      </c>
      <c r="P41" s="112"/>
      <c r="Q41" s="113"/>
      <c r="R41" s="113"/>
      <c r="S41" s="114"/>
      <c r="T41" s="117"/>
      <c r="U41" s="116">
        <f>U40-P16</f>
        <v>-344.30000000000064</v>
      </c>
      <c r="V41" s="112"/>
      <c r="W41" s="113"/>
      <c r="X41" s="113"/>
      <c r="Y41" s="114"/>
      <c r="Z41" s="117"/>
      <c r="AA41" s="116">
        <f>AA40-V16</f>
        <v>-6209</v>
      </c>
      <c r="AB41" s="612">
        <f>IFERROR(AA41/O41,0)</f>
        <v>0.96528457938839918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427.9</v>
      </c>
      <c r="E44" s="104">
        <v>427.9</v>
      </c>
      <c r="F44" s="105">
        <v>0</v>
      </c>
      <c r="G44" s="49"/>
      <c r="H44" s="49"/>
      <c r="I44" s="50"/>
      <c r="J44" s="94">
        <v>427.9</v>
      </c>
      <c r="K44" s="104">
        <v>427.9</v>
      </c>
      <c r="L44" s="105">
        <v>0</v>
      </c>
      <c r="M44" s="93"/>
      <c r="N44" s="93"/>
      <c r="O44" s="93"/>
      <c r="P44" s="94">
        <v>213.3</v>
      </c>
      <c r="Q44" s="104">
        <v>213.3</v>
      </c>
      <c r="R44" s="105">
        <v>0</v>
      </c>
      <c r="S44" s="4"/>
      <c r="T44" s="4"/>
      <c r="U44" s="4"/>
      <c r="V44" s="94">
        <v>427.9</v>
      </c>
      <c r="W44" s="104">
        <v>427.9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v>3395.6</v>
      </c>
      <c r="E50" s="85">
        <v>4446.6000000000004</v>
      </c>
      <c r="F50" s="85">
        <v>1465.7</v>
      </c>
      <c r="G50" s="52">
        <v>6376.5</v>
      </c>
      <c r="H50" s="49"/>
      <c r="I50" s="4"/>
      <c r="J50" s="52">
        <v>3831.9</v>
      </c>
      <c r="K50" s="85">
        <v>1615.7</v>
      </c>
      <c r="L50" s="85">
        <v>1353.9</v>
      </c>
      <c r="M50" s="52">
        <f>J50+K50-L50</f>
        <v>4093.7000000000003</v>
      </c>
      <c r="N50" s="4"/>
      <c r="O50" s="4"/>
      <c r="P50" s="85">
        <v>6376.5</v>
      </c>
      <c r="Q50" s="85">
        <v>991.1</v>
      </c>
      <c r="R50" s="85">
        <v>3098.2</v>
      </c>
      <c r="S50" s="52">
        <f>P50+Q50-R50</f>
        <v>4269.4000000000005</v>
      </c>
      <c r="T50" s="4"/>
      <c r="U50" s="4"/>
      <c r="V50" s="85">
        <v>4269.3999999999996</v>
      </c>
      <c r="W50" s="85">
        <v>1230</v>
      </c>
      <c r="X50" s="85">
        <v>997.9</v>
      </c>
      <c r="Y50" s="52">
        <f>V50+W50-X50</f>
        <v>4501.5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793.4</v>
      </c>
      <c r="E51" s="85">
        <v>2990.1</v>
      </c>
      <c r="F51" s="85">
        <v>293.5</v>
      </c>
      <c r="G51" s="52">
        <f>D51+E51-F51</f>
        <v>3490</v>
      </c>
      <c r="H51" s="49"/>
      <c r="I51" s="4"/>
      <c r="J51" s="52">
        <v>910.1</v>
      </c>
      <c r="K51" s="85">
        <v>200</v>
      </c>
      <c r="L51" s="85">
        <v>306</v>
      </c>
      <c r="M51" s="52">
        <f>J51+K51-L51</f>
        <v>804.09999999999991</v>
      </c>
      <c r="N51" s="4"/>
      <c r="O51" s="4"/>
      <c r="P51" s="85">
        <v>3490</v>
      </c>
      <c r="Q51" s="85">
        <v>396.3</v>
      </c>
      <c r="R51" s="85">
        <v>2637.2</v>
      </c>
      <c r="S51" s="52">
        <f>P51+Q51-R51</f>
        <v>1249.1000000000004</v>
      </c>
      <c r="T51" s="4"/>
      <c r="U51" s="4"/>
      <c r="V51" s="85">
        <v>1249.0999999999999</v>
      </c>
      <c r="W51" s="85">
        <v>200</v>
      </c>
      <c r="X51" s="85">
        <v>250</v>
      </c>
      <c r="Y51" s="52">
        <f>V51+W51-X51</f>
        <v>1199.0999999999999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1781.5</v>
      </c>
      <c r="E52" s="85">
        <v>747.9</v>
      </c>
      <c r="F52" s="85">
        <v>427.9</v>
      </c>
      <c r="G52" s="52">
        <f>D52+E52-F52</f>
        <v>2101.5</v>
      </c>
      <c r="H52" s="49"/>
      <c r="I52" s="4"/>
      <c r="J52" s="52">
        <v>1946.1</v>
      </c>
      <c r="K52" s="85">
        <v>770</v>
      </c>
      <c r="L52" s="85">
        <v>427.9</v>
      </c>
      <c r="M52" s="52">
        <f>J52+K52-L52</f>
        <v>2288.1999999999998</v>
      </c>
      <c r="N52" s="4"/>
      <c r="O52" s="4"/>
      <c r="P52" s="85">
        <v>2101.5</v>
      </c>
      <c r="Q52" s="85">
        <v>364.1</v>
      </c>
      <c r="R52" s="85">
        <v>213.3</v>
      </c>
      <c r="S52" s="52">
        <f>P52+Q52-R52</f>
        <v>2252.2999999999997</v>
      </c>
      <c r="T52" s="4"/>
      <c r="U52" s="4"/>
      <c r="V52" s="85">
        <v>2252.3000000000002</v>
      </c>
      <c r="W52" s="85">
        <v>720</v>
      </c>
      <c r="X52" s="85">
        <v>427.9</v>
      </c>
      <c r="Y52" s="52">
        <f>V52+W52-X52</f>
        <v>2544.4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300</v>
      </c>
      <c r="E53" s="85">
        <v>60</v>
      </c>
      <c r="F53" s="85">
        <v>19</v>
      </c>
      <c r="G53" s="52">
        <f>D53+E53-F53</f>
        <v>341</v>
      </c>
      <c r="H53" s="49"/>
      <c r="I53" s="4"/>
      <c r="J53" s="52">
        <v>360</v>
      </c>
      <c r="K53" s="85">
        <v>30</v>
      </c>
      <c r="L53" s="85">
        <v>20</v>
      </c>
      <c r="M53" s="52">
        <f>J53+K53-L53</f>
        <v>370</v>
      </c>
      <c r="N53" s="4"/>
      <c r="O53" s="4"/>
      <c r="P53" s="85">
        <v>341</v>
      </c>
      <c r="Q53" s="85">
        <v>92</v>
      </c>
      <c r="R53" s="85">
        <v>0</v>
      </c>
      <c r="S53" s="52">
        <f>P53+Q53-R53</f>
        <v>433</v>
      </c>
      <c r="T53" s="4"/>
      <c r="U53" s="4"/>
      <c r="V53" s="85">
        <v>433</v>
      </c>
      <c r="W53" s="85">
        <v>30</v>
      </c>
      <c r="X53" s="85">
        <v>20</v>
      </c>
      <c r="Y53" s="52">
        <f>V53+W53-X53</f>
        <v>443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520.70000000000005</v>
      </c>
      <c r="E54" s="85">
        <v>648.6</v>
      </c>
      <c r="F54" s="85">
        <v>725.3</v>
      </c>
      <c r="G54" s="52">
        <f>D54+E54-F54</f>
        <v>444.00000000000023</v>
      </c>
      <c r="H54" s="49"/>
      <c r="I54" s="4"/>
      <c r="J54" s="52">
        <v>615.70000000000005</v>
      </c>
      <c r="K54" s="85">
        <v>615.70000000000005</v>
      </c>
      <c r="L54" s="85">
        <v>600</v>
      </c>
      <c r="M54" s="52">
        <f>J54+K54-L54</f>
        <v>631.40000000000009</v>
      </c>
      <c r="N54" s="4"/>
      <c r="O54" s="4"/>
      <c r="P54" s="85">
        <v>444</v>
      </c>
      <c r="Q54" s="85">
        <v>138.69999999999999</v>
      </c>
      <c r="R54" s="85">
        <v>247.7</v>
      </c>
      <c r="S54" s="52">
        <f>P54+Q54-R54</f>
        <v>335.00000000000006</v>
      </c>
      <c r="T54" s="4"/>
      <c r="U54" s="4"/>
      <c r="V54" s="85">
        <v>335</v>
      </c>
      <c r="W54" s="85">
        <v>280</v>
      </c>
      <c r="X54" s="85">
        <v>300</v>
      </c>
      <c r="Y54" s="52">
        <f>V54+W54-X54</f>
        <v>315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59</v>
      </c>
      <c r="E57" s="86">
        <v>60</v>
      </c>
      <c r="F57" s="49"/>
      <c r="G57" s="49"/>
      <c r="H57" s="49"/>
      <c r="I57" s="50"/>
      <c r="J57" s="86">
        <v>65</v>
      </c>
      <c r="K57" s="49"/>
      <c r="L57" s="49"/>
      <c r="M57" s="49"/>
      <c r="N57" s="49"/>
      <c r="O57" s="50"/>
      <c r="P57" s="86">
        <v>61</v>
      </c>
      <c r="Q57" s="50"/>
      <c r="R57" s="50"/>
      <c r="S57" s="50"/>
      <c r="T57" s="50"/>
      <c r="U57" s="50"/>
      <c r="V57" s="86">
        <v>65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4"/>
      <c r="W87" s="154"/>
      <c r="X87" s="154"/>
      <c r="Y87" s="154"/>
      <c r="Z87" s="154"/>
      <c r="AA87" s="154"/>
      <c r="AB87" s="155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45516</v>
      </c>
      <c r="D91" s="53" t="s">
        <v>76</v>
      </c>
      <c r="E91" s="216" t="s">
        <v>242</v>
      </c>
      <c r="F91" s="216"/>
      <c r="G91" s="216"/>
      <c r="H91" s="53"/>
      <c r="I91" s="53" t="s">
        <v>77</v>
      </c>
      <c r="J91" s="223" t="s">
        <v>241</v>
      </c>
      <c r="K91" s="223"/>
      <c r="L91" s="223"/>
      <c r="M91" s="22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10:B13"/>
    <mergeCell ref="J10:O10"/>
    <mergeCell ref="J11:M11"/>
    <mergeCell ref="J12:O12"/>
    <mergeCell ref="J13:L13"/>
    <mergeCell ref="M13:M14"/>
    <mergeCell ref="N13:N14"/>
    <mergeCell ref="N26:N27"/>
    <mergeCell ref="O26:O27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91:G91"/>
    <mergeCell ref="J91:M91"/>
    <mergeCell ref="B63:U63"/>
    <mergeCell ref="B82:U82"/>
    <mergeCell ref="H26:H27"/>
    <mergeCell ref="I26:I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27" priority="5" operator="equal">
      <formula>0</formula>
    </cfRule>
    <cfRule type="containsErrors" dxfId="26" priority="6">
      <formula>ISERROR(AB15)</formula>
    </cfRule>
  </conditionalFormatting>
  <conditionalFormatting sqref="AB28:AB40">
    <cfRule type="cellIs" dxfId="25" priority="3" operator="equal">
      <formula>0</formula>
    </cfRule>
    <cfRule type="containsErrors" dxfId="24" priority="4">
      <formula>ISERROR(AB28)</formula>
    </cfRule>
  </conditionalFormatting>
  <conditionalFormatting sqref="AB41">
    <cfRule type="cellIs" dxfId="23" priority="1" operator="equal">
      <formula>0</formula>
    </cfRule>
    <cfRule type="containsErrors" dxfId="22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276"/>
  <sheetViews>
    <sheetView showGridLines="0" topLeftCell="A37" zoomScale="80" zoomScaleNormal="80" zoomScaleSheetLayoutView="80" workbookViewId="0">
      <selection activeCell="C68" sqref="C6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254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4678685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253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112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2678.5</v>
      </c>
      <c r="G15" s="63">
        <f>SUM(D15:F15)</f>
        <v>2678.5</v>
      </c>
      <c r="H15" s="66"/>
      <c r="I15" s="14">
        <f>G15+H15</f>
        <v>2678.5</v>
      </c>
      <c r="J15" s="687"/>
      <c r="K15" s="686"/>
      <c r="L15" s="685">
        <v>2560</v>
      </c>
      <c r="M15" s="684">
        <f>SUM(J15:L15)</f>
        <v>2560</v>
      </c>
      <c r="N15" s="679"/>
      <c r="O15" s="621">
        <f>M15+N15</f>
        <v>2560</v>
      </c>
      <c r="P15" s="12"/>
      <c r="Q15" s="13"/>
      <c r="R15" s="646">
        <v>1233.3</v>
      </c>
      <c r="S15" s="63">
        <f>SUM(P15:R15)</f>
        <v>1233.3</v>
      </c>
      <c r="T15" s="66"/>
      <c r="U15" s="14">
        <f>S15+T15</f>
        <v>1233.3</v>
      </c>
      <c r="V15" s="12"/>
      <c r="W15" s="13"/>
      <c r="X15" s="56">
        <v>2600</v>
      </c>
      <c r="Y15" s="63">
        <f>SUM(V15:X15)</f>
        <v>2600</v>
      </c>
      <c r="Z15" s="66"/>
      <c r="AA15" s="14">
        <f>Y15+Z15</f>
        <v>2600</v>
      </c>
      <c r="AB15" s="145">
        <f>(AA15/O15)</f>
        <v>1.015625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5309.2</v>
      </c>
      <c r="E16" s="16"/>
      <c r="F16" s="16"/>
      <c r="G16" s="64">
        <f>SUM(D16:F16)</f>
        <v>5309.2</v>
      </c>
      <c r="H16" s="67"/>
      <c r="I16" s="14">
        <f>G16+H16</f>
        <v>5309.2</v>
      </c>
      <c r="J16" s="683">
        <v>6955.6</v>
      </c>
      <c r="K16" s="674"/>
      <c r="L16" s="674"/>
      <c r="M16" s="672">
        <f>SUM(J16:L16)</f>
        <v>6955.6</v>
      </c>
      <c r="N16" s="682"/>
      <c r="O16" s="621">
        <f>M16+N16</f>
        <v>6955.6</v>
      </c>
      <c r="P16" s="57">
        <v>3358</v>
      </c>
      <c r="Q16" s="645"/>
      <c r="R16" s="16"/>
      <c r="S16" s="64">
        <f>SUM(P16:R16)</f>
        <v>3358</v>
      </c>
      <c r="T16" s="67"/>
      <c r="U16" s="14">
        <f>S16+T16</f>
        <v>3358</v>
      </c>
      <c r="V16" s="57">
        <v>7000</v>
      </c>
      <c r="W16" s="16"/>
      <c r="X16" s="16"/>
      <c r="Y16" s="64">
        <f>SUM(V16:X16)</f>
        <v>7000</v>
      </c>
      <c r="Z16" s="67"/>
      <c r="AA16" s="14">
        <f>Y16+Z16</f>
        <v>7000</v>
      </c>
      <c r="AB16" s="145">
        <f>(AA16/O16)</f>
        <v>1.0063833457933176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332.6</v>
      </c>
      <c r="E17" s="17"/>
      <c r="F17" s="17"/>
      <c r="G17" s="64">
        <f>SUM(D17:F17)</f>
        <v>332.6</v>
      </c>
      <c r="H17" s="68"/>
      <c r="I17" s="14">
        <f>G17+H17</f>
        <v>332.6</v>
      </c>
      <c r="J17" s="421">
        <v>835.5</v>
      </c>
      <c r="K17" s="677"/>
      <c r="L17" s="677"/>
      <c r="M17" s="672">
        <f>SUM(J17:L17)</f>
        <v>835.5</v>
      </c>
      <c r="N17" s="681"/>
      <c r="O17" s="621">
        <f>M17+N17</f>
        <v>835.5</v>
      </c>
      <c r="P17" s="58">
        <v>335.5</v>
      </c>
      <c r="Q17" s="17"/>
      <c r="R17" s="17"/>
      <c r="S17" s="64">
        <f>SUM(P17:R17)</f>
        <v>335.5</v>
      </c>
      <c r="T17" s="68"/>
      <c r="U17" s="14">
        <f>S17+T17</f>
        <v>335.5</v>
      </c>
      <c r="V17" s="58">
        <v>1241.3</v>
      </c>
      <c r="W17" s="17"/>
      <c r="X17" s="17"/>
      <c r="Y17" s="64">
        <f>SUM(V17:X17)</f>
        <v>1241.3</v>
      </c>
      <c r="Z17" s="68"/>
      <c r="AA17" s="14">
        <f>Y17+Z17</f>
        <v>1241.3</v>
      </c>
      <c r="AB17" s="145">
        <f>(AA17/O17)</f>
        <v>1.4856971873129863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57724.7</v>
      </c>
      <c r="F18" s="17"/>
      <c r="G18" s="64">
        <f>SUM(D18:F18)</f>
        <v>57724.7</v>
      </c>
      <c r="H18" s="66"/>
      <c r="I18" s="14">
        <f>G18+H18</f>
        <v>57724.7</v>
      </c>
      <c r="J18" s="675"/>
      <c r="K18" s="680">
        <v>60001.2</v>
      </c>
      <c r="L18" s="677"/>
      <c r="M18" s="672">
        <f>SUM(J18:L18)</f>
        <v>60001.2</v>
      </c>
      <c r="N18" s="679"/>
      <c r="O18" s="621">
        <f>M18+N18</f>
        <v>60001.2</v>
      </c>
      <c r="P18" s="18"/>
      <c r="Q18" s="59">
        <v>28756.2</v>
      </c>
      <c r="R18" s="17"/>
      <c r="S18" s="64">
        <f>SUM(P18:R18)</f>
        <v>28756.2</v>
      </c>
      <c r="T18" s="66"/>
      <c r="U18" s="14">
        <f>S18+T18</f>
        <v>28756.2</v>
      </c>
      <c r="V18" s="18"/>
      <c r="W18" s="59">
        <v>55000</v>
      </c>
      <c r="X18" s="17"/>
      <c r="Y18" s="64">
        <f>SUM(V18:X18)</f>
        <v>55000</v>
      </c>
      <c r="Z18" s="66"/>
      <c r="AA18" s="14">
        <f>Y18+Z18</f>
        <v>55000</v>
      </c>
      <c r="AB18" s="145">
        <f>(AA18/O18)</f>
        <v>0.91664833369999266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965.2</v>
      </c>
      <c r="G19" s="64">
        <f>SUM(D19:F19)</f>
        <v>965.2</v>
      </c>
      <c r="H19" s="69"/>
      <c r="I19" s="14">
        <f>G19+H19</f>
        <v>965.2</v>
      </c>
      <c r="J19" s="678"/>
      <c r="K19" s="677"/>
      <c r="L19" s="415">
        <v>957</v>
      </c>
      <c r="M19" s="672">
        <f>SUM(J19:L19)</f>
        <v>957</v>
      </c>
      <c r="N19" s="676"/>
      <c r="O19" s="621">
        <f>M19+N19</f>
        <v>957</v>
      </c>
      <c r="P19" s="19"/>
      <c r="Q19" s="17"/>
      <c r="R19" s="60">
        <v>74.3</v>
      </c>
      <c r="S19" s="64">
        <f>SUM(P19:R19)</f>
        <v>74.3</v>
      </c>
      <c r="T19" s="69"/>
      <c r="U19" s="14">
        <f>S19+T19</f>
        <v>74.3</v>
      </c>
      <c r="V19" s="19"/>
      <c r="W19" s="17"/>
      <c r="X19" s="60">
        <v>957</v>
      </c>
      <c r="Y19" s="64">
        <f>SUM(V19:X19)</f>
        <v>957</v>
      </c>
      <c r="Z19" s="69"/>
      <c r="AA19" s="14">
        <f>Y19+Z19</f>
        <v>957</v>
      </c>
      <c r="AB19" s="145">
        <f>(AA19/O19)</f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248.6</v>
      </c>
      <c r="G20" s="64">
        <f>SUM(D20:F20)</f>
        <v>248.6</v>
      </c>
      <c r="H20" s="69"/>
      <c r="I20" s="14">
        <f>G20+H20</f>
        <v>248.6</v>
      </c>
      <c r="J20" s="675"/>
      <c r="K20" s="674"/>
      <c r="L20" s="673"/>
      <c r="M20" s="672">
        <f>SUM(J20:L20)</f>
        <v>0</v>
      </c>
      <c r="N20" s="676"/>
      <c r="O20" s="621">
        <f>M20+N20</f>
        <v>0</v>
      </c>
      <c r="P20" s="18"/>
      <c r="Q20" s="16"/>
      <c r="R20" s="61">
        <v>144.30000000000001</v>
      </c>
      <c r="S20" s="64">
        <f>SUM(P20:R20)</f>
        <v>144.30000000000001</v>
      </c>
      <c r="T20" s="69"/>
      <c r="U20" s="14">
        <f>S20+T20</f>
        <v>144.30000000000001</v>
      </c>
      <c r="V20" s="18"/>
      <c r="W20" s="16"/>
      <c r="X20" s="61"/>
      <c r="Y20" s="64">
        <f>SUM(V20:X20)</f>
        <v>0</v>
      </c>
      <c r="Z20" s="69"/>
      <c r="AA20" s="14">
        <f>Y20+Z20</f>
        <v>0</v>
      </c>
      <c r="AB20" s="145" t="e">
        <f>(AA20/O20)</f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810.7</v>
      </c>
      <c r="G21" s="64">
        <f>SUM(D21:F21)</f>
        <v>810.7</v>
      </c>
      <c r="H21" s="70">
        <v>225.2</v>
      </c>
      <c r="I21" s="14">
        <f>G21+H21</f>
        <v>1035.9000000000001</v>
      </c>
      <c r="J21" s="675"/>
      <c r="K21" s="674"/>
      <c r="L21" s="673">
        <v>1500</v>
      </c>
      <c r="M21" s="672">
        <f>SUM(J21:L21)</f>
        <v>1500</v>
      </c>
      <c r="N21" s="671"/>
      <c r="O21" s="621">
        <f>M21+N21</f>
        <v>1500</v>
      </c>
      <c r="P21" s="18"/>
      <c r="Q21" s="16"/>
      <c r="R21" s="61">
        <v>533</v>
      </c>
      <c r="S21" s="64">
        <f>SUM(P21:R21)</f>
        <v>533</v>
      </c>
      <c r="T21" s="70">
        <v>90.9</v>
      </c>
      <c r="U21" s="14">
        <f>S21+T21</f>
        <v>623.9</v>
      </c>
      <c r="V21" s="18"/>
      <c r="W21" s="16"/>
      <c r="X21" s="61">
        <v>1500</v>
      </c>
      <c r="Y21" s="64">
        <f>SUM(V21:X21)</f>
        <v>1500</v>
      </c>
      <c r="Z21" s="70"/>
      <c r="AA21" s="14">
        <f>Y21+Z21</f>
        <v>1500</v>
      </c>
      <c r="AB21" s="145">
        <f>(AA21/O21)</f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/>
      <c r="I22" s="14">
        <f>G22+H22</f>
        <v>0</v>
      </c>
      <c r="J22" s="675"/>
      <c r="K22" s="674"/>
      <c r="L22" s="673">
        <v>300</v>
      </c>
      <c r="M22" s="672">
        <f>SUM(J22:L22)</f>
        <v>300</v>
      </c>
      <c r="N22" s="671"/>
      <c r="O22" s="621">
        <f>M22+N22</f>
        <v>300</v>
      </c>
      <c r="P22" s="18"/>
      <c r="Q22" s="16"/>
      <c r="R22" s="61">
        <v>90.9</v>
      </c>
      <c r="S22" s="64">
        <f>SUM(P22:R22)</f>
        <v>90.9</v>
      </c>
      <c r="T22" s="70"/>
      <c r="U22" s="14">
        <f>S22+T22</f>
        <v>90.9</v>
      </c>
      <c r="V22" s="18"/>
      <c r="W22" s="16"/>
      <c r="X22" s="61">
        <v>300</v>
      </c>
      <c r="Y22" s="64">
        <f>SUM(V22:X22)</f>
        <v>300</v>
      </c>
      <c r="Z22" s="70"/>
      <c r="AA22" s="14">
        <f>Y22+Z22</f>
        <v>300</v>
      </c>
      <c r="AB22" s="145">
        <f>(AA22/O22)</f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>SUM(D23:F23)</f>
        <v>0</v>
      </c>
      <c r="H23" s="71"/>
      <c r="I23" s="23">
        <f>G23+H23</f>
        <v>0</v>
      </c>
      <c r="J23" s="670"/>
      <c r="K23" s="669"/>
      <c r="L23" s="668"/>
      <c r="M23" s="667">
        <f>SUM(J23:L23)</f>
        <v>0</v>
      </c>
      <c r="N23" s="666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148" t="e">
        <f>(AA23/O23)</f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5641.8</v>
      </c>
      <c r="E24" s="27">
        <f>SUM(E15:E21)</f>
        <v>57724.7</v>
      </c>
      <c r="F24" s="27">
        <f>SUM(F15:F21)</f>
        <v>4703</v>
      </c>
      <c r="G24" s="28">
        <f>SUM(D24:F24)</f>
        <v>68069.5</v>
      </c>
      <c r="H24" s="29">
        <f>SUM(H15:H21)</f>
        <v>225.2</v>
      </c>
      <c r="I24" s="29">
        <f>SUM(I15:I21)</f>
        <v>68294.7</v>
      </c>
      <c r="J24" s="665">
        <f>SUM(J15:J21)</f>
        <v>7791.1</v>
      </c>
      <c r="K24" s="664">
        <f>SUM(K15:K21)</f>
        <v>60001.2</v>
      </c>
      <c r="L24" s="664">
        <f>SUM(L15:L21)</f>
        <v>5017</v>
      </c>
      <c r="M24" s="663">
        <f>SUM(J24:L24)</f>
        <v>72809.3</v>
      </c>
      <c r="N24" s="644">
        <f>SUM(N15:N21)</f>
        <v>0</v>
      </c>
      <c r="O24" s="644">
        <f>SUM(O15:O21)</f>
        <v>72809.3</v>
      </c>
      <c r="P24" s="26">
        <f>SUM(P15:P21)</f>
        <v>3693.5</v>
      </c>
      <c r="Q24" s="27">
        <f>SUM(Q15:Q21)</f>
        <v>28756.2</v>
      </c>
      <c r="R24" s="27">
        <f>SUM(R15:R21)</f>
        <v>1984.8999999999999</v>
      </c>
      <c r="S24" s="28">
        <f>SUM(P24:R24)</f>
        <v>34434.6</v>
      </c>
      <c r="T24" s="29">
        <f>SUM(T15:T21)</f>
        <v>90.9</v>
      </c>
      <c r="U24" s="29">
        <f>SUM(U15:U21)</f>
        <v>34525.500000000007</v>
      </c>
      <c r="V24" s="26">
        <f>SUM(V15:V21)</f>
        <v>8241.2999999999993</v>
      </c>
      <c r="W24" s="27">
        <f>SUM(W15:W21)</f>
        <v>55000</v>
      </c>
      <c r="X24" s="27">
        <f>SUM(X15:X21)</f>
        <v>5057</v>
      </c>
      <c r="Y24" s="28">
        <f>SUM(V24:X24)</f>
        <v>68298.3</v>
      </c>
      <c r="Z24" s="29">
        <f>SUM(Z15:Z21)</f>
        <v>0</v>
      </c>
      <c r="AA24" s="29">
        <f>SUM(AA15:AA21)</f>
        <v>68298.3</v>
      </c>
      <c r="AB24" s="149">
        <f>(AA24/O24)</f>
        <v>0.93804362904189442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198" t="s">
        <v>112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199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20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727.4</v>
      </c>
      <c r="E28" s="72"/>
      <c r="F28" s="72">
        <v>258</v>
      </c>
      <c r="G28" s="73">
        <f>SUM(D28:F28)</f>
        <v>985.4</v>
      </c>
      <c r="H28" s="73"/>
      <c r="I28" s="37">
        <f>G28+H28</f>
        <v>985.4</v>
      </c>
      <c r="J28" s="662">
        <v>423</v>
      </c>
      <c r="K28" s="661"/>
      <c r="L28" s="661">
        <v>120</v>
      </c>
      <c r="M28" s="660">
        <f>SUM(J28:L28)</f>
        <v>543</v>
      </c>
      <c r="N28" s="660"/>
      <c r="O28" s="624">
        <f>M28+N28</f>
        <v>543</v>
      </c>
      <c r="P28" s="80">
        <v>88.4</v>
      </c>
      <c r="Q28" s="72"/>
      <c r="R28" s="72"/>
      <c r="S28" s="73">
        <f>SUM(P28:R28)</f>
        <v>88.4</v>
      </c>
      <c r="T28" s="73"/>
      <c r="U28" s="37">
        <f>S28+T28</f>
        <v>88.4</v>
      </c>
      <c r="V28" s="80">
        <v>449.6</v>
      </c>
      <c r="W28" s="72"/>
      <c r="X28" s="72">
        <v>160</v>
      </c>
      <c r="Y28" s="73">
        <f>SUM(V28:X28)</f>
        <v>609.6</v>
      </c>
      <c r="Z28" s="73"/>
      <c r="AA28" s="37">
        <f>Y28+Z28</f>
        <v>609.6</v>
      </c>
      <c r="AB28" s="145">
        <f>(AA28/O28)</f>
        <v>1.1226519337016574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430.8</v>
      </c>
      <c r="E29" s="74">
        <v>1012</v>
      </c>
      <c r="F29" s="74">
        <v>2030.2</v>
      </c>
      <c r="G29" s="75">
        <f>SUM(D29:F29)</f>
        <v>3473</v>
      </c>
      <c r="H29" s="76"/>
      <c r="I29" s="14">
        <f>G29+H29</f>
        <v>3473</v>
      </c>
      <c r="J29" s="659">
        <v>1258.2</v>
      </c>
      <c r="K29" s="658"/>
      <c r="L29" s="658">
        <v>2145</v>
      </c>
      <c r="M29" s="654">
        <f>SUM(J29:L29)</f>
        <v>3403.2</v>
      </c>
      <c r="N29" s="657"/>
      <c r="O29" s="621">
        <f>M29+N29</f>
        <v>3403.2</v>
      </c>
      <c r="P29" s="81">
        <v>262.7</v>
      </c>
      <c r="Q29" s="74">
        <v>125.8</v>
      </c>
      <c r="R29" s="74">
        <v>1355.9</v>
      </c>
      <c r="S29" s="75">
        <f>SUM(P29:R29)</f>
        <v>1744.4</v>
      </c>
      <c r="T29" s="76"/>
      <c r="U29" s="14">
        <f>S29+T29</f>
        <v>1744.4</v>
      </c>
      <c r="V29" s="81">
        <v>1350</v>
      </c>
      <c r="W29" s="74"/>
      <c r="X29" s="74">
        <v>2150</v>
      </c>
      <c r="Y29" s="75">
        <f>SUM(V29:X29)</f>
        <v>3500</v>
      </c>
      <c r="Z29" s="76"/>
      <c r="AA29" s="14">
        <f>Y29+Z29</f>
        <v>3500</v>
      </c>
      <c r="AB29" s="145">
        <f>(AA29/O29)</f>
        <v>1.0284438175834509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2423.3000000000002</v>
      </c>
      <c r="E30" s="77"/>
      <c r="F30" s="77">
        <v>112.9</v>
      </c>
      <c r="G30" s="75">
        <f>SUM(D30:F30)</f>
        <v>2536.2000000000003</v>
      </c>
      <c r="H30" s="75">
        <v>127.4</v>
      </c>
      <c r="I30" s="14">
        <f>G30+H30</f>
        <v>2663.6000000000004</v>
      </c>
      <c r="J30" s="656">
        <v>3151.1</v>
      </c>
      <c r="K30" s="486"/>
      <c r="L30" s="655">
        <v>300</v>
      </c>
      <c r="M30" s="654">
        <f>SUM(J30:L30)</f>
        <v>3451.1</v>
      </c>
      <c r="N30" s="654"/>
      <c r="O30" s="621">
        <f>M30+N30</f>
        <v>3451.1</v>
      </c>
      <c r="P30" s="82">
        <v>1837</v>
      </c>
      <c r="Q30" s="77"/>
      <c r="R30" s="77"/>
      <c r="S30" s="75">
        <f>SUM(P30:R30)</f>
        <v>1837</v>
      </c>
      <c r="T30" s="75"/>
      <c r="U30" s="14">
        <f>S30+T30</f>
        <v>1837</v>
      </c>
      <c r="V30" s="82">
        <v>2890</v>
      </c>
      <c r="W30" s="77"/>
      <c r="X30" s="77">
        <v>300</v>
      </c>
      <c r="Y30" s="75">
        <f>SUM(V30:X30)</f>
        <v>3190</v>
      </c>
      <c r="Z30" s="75"/>
      <c r="AA30" s="14">
        <f>Y30+Z30</f>
        <v>3190</v>
      </c>
      <c r="AB30" s="145">
        <f>(AA30/O30)</f>
        <v>0.92434296311321029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550.79999999999995</v>
      </c>
      <c r="E31" s="77">
        <v>609.9</v>
      </c>
      <c r="F31" s="77">
        <v>422.7</v>
      </c>
      <c r="G31" s="75">
        <f>SUM(D31:F31)</f>
        <v>1583.3999999999999</v>
      </c>
      <c r="H31" s="75"/>
      <c r="I31" s="14">
        <f>G31+H31</f>
        <v>1583.3999999999999</v>
      </c>
      <c r="J31" s="656">
        <v>1247</v>
      </c>
      <c r="K31" s="655"/>
      <c r="L31" s="655">
        <v>1298</v>
      </c>
      <c r="M31" s="654">
        <f>SUM(J31:L31)</f>
        <v>2545</v>
      </c>
      <c r="N31" s="654"/>
      <c r="O31" s="621">
        <f>M31+N31</f>
        <v>2545</v>
      </c>
      <c r="P31" s="82">
        <v>406.5</v>
      </c>
      <c r="Q31" s="77">
        <v>45</v>
      </c>
      <c r="R31" s="77"/>
      <c r="S31" s="75">
        <f>SUM(P31:R31)</f>
        <v>451.5</v>
      </c>
      <c r="T31" s="75"/>
      <c r="U31" s="14">
        <f>S31+T31</f>
        <v>451.5</v>
      </c>
      <c r="V31" s="82">
        <v>2197.6</v>
      </c>
      <c r="W31" s="77"/>
      <c r="X31" s="77">
        <v>1300</v>
      </c>
      <c r="Y31" s="75">
        <f>SUM(V31:X31)</f>
        <v>3497.6</v>
      </c>
      <c r="Z31" s="75"/>
      <c r="AA31" s="14">
        <f>Y31+Z31</f>
        <v>3497.6</v>
      </c>
      <c r="AB31" s="145">
        <f>(AA31/O31)</f>
        <v>1.3743025540275049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238.5</v>
      </c>
      <c r="E32" s="77">
        <v>55212.800000000003</v>
      </c>
      <c r="F32" s="77"/>
      <c r="G32" s="75">
        <f>SUM(D32:F32)</f>
        <v>55451.3</v>
      </c>
      <c r="H32" s="75"/>
      <c r="I32" s="14">
        <f>G32+H32</f>
        <v>55451.3</v>
      </c>
      <c r="J32" s="656">
        <v>241.1</v>
      </c>
      <c r="K32" s="655">
        <v>59000</v>
      </c>
      <c r="L32" s="655"/>
      <c r="M32" s="654">
        <f>SUM(J32:L32)</f>
        <v>59241.1</v>
      </c>
      <c r="N32" s="654"/>
      <c r="O32" s="621">
        <f>M32+N32</f>
        <v>59241.1</v>
      </c>
      <c r="P32" s="83"/>
      <c r="Q32" s="77">
        <v>26661.200000000001</v>
      </c>
      <c r="R32" s="77"/>
      <c r="S32" s="75">
        <f>SUM(P32:R32)</f>
        <v>26661.200000000001</v>
      </c>
      <c r="T32" s="75"/>
      <c r="U32" s="14">
        <f>S32+T32</f>
        <v>26661.200000000001</v>
      </c>
      <c r="V32" s="83">
        <v>238.7</v>
      </c>
      <c r="W32" s="77">
        <v>54500</v>
      </c>
      <c r="X32" s="77"/>
      <c r="Y32" s="75">
        <f>SUM(V32:X32)</f>
        <v>54738.7</v>
      </c>
      <c r="Z32" s="75"/>
      <c r="AA32" s="14">
        <f>Y32+Z32</f>
        <v>54738.7</v>
      </c>
      <c r="AB32" s="145">
        <f>(AA32/O32)</f>
        <v>0.9239987103548043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/>
      <c r="E33" s="77"/>
      <c r="F33" s="77"/>
      <c r="G33" s="75">
        <f>SUM(D33:F33)</f>
        <v>0</v>
      </c>
      <c r="H33" s="75"/>
      <c r="I33" s="14">
        <f>G33+H33</f>
        <v>0</v>
      </c>
      <c r="J33" s="656"/>
      <c r="K33" s="655"/>
      <c r="L33" s="655"/>
      <c r="M33" s="654">
        <f>SUM(J33:L33)</f>
        <v>0</v>
      </c>
      <c r="N33" s="654"/>
      <c r="O33" s="621">
        <f>M33+N33</f>
        <v>0</v>
      </c>
      <c r="P33" s="83"/>
      <c r="Q33" s="77"/>
      <c r="R33" s="77"/>
      <c r="S33" s="75">
        <f>SUM(P33:R33)</f>
        <v>0</v>
      </c>
      <c r="T33" s="75"/>
      <c r="U33" s="14">
        <f>S33+T33</f>
        <v>0</v>
      </c>
      <c r="V33" s="83"/>
      <c r="W33" s="77"/>
      <c r="X33" s="77"/>
      <c r="Y33" s="75">
        <f>SUM(V33:X33)</f>
        <v>0</v>
      </c>
      <c r="Z33" s="75"/>
      <c r="AA33" s="14">
        <f>Y33+Z33</f>
        <v>0</v>
      </c>
      <c r="AB33" s="145" t="e">
        <f>(AA33/O33)</f>
        <v>#DIV/0!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/>
      <c r="E34" s="77"/>
      <c r="F34" s="77"/>
      <c r="G34" s="75">
        <f>SUM(D34:F34)</f>
        <v>0</v>
      </c>
      <c r="H34" s="75"/>
      <c r="I34" s="14">
        <f>G34+H34</f>
        <v>0</v>
      </c>
      <c r="J34" s="656"/>
      <c r="K34" s="655"/>
      <c r="L34" s="655"/>
      <c r="M34" s="654">
        <f>SUM(J34:L34)</f>
        <v>0</v>
      </c>
      <c r="N34" s="654"/>
      <c r="O34" s="621">
        <f>M34+N34</f>
        <v>0</v>
      </c>
      <c r="P34" s="83"/>
      <c r="Q34" s="77"/>
      <c r="R34" s="77"/>
      <c r="S34" s="75">
        <f>SUM(P34:R34)</f>
        <v>0</v>
      </c>
      <c r="T34" s="75"/>
      <c r="U34" s="14">
        <f>S34+T34</f>
        <v>0</v>
      </c>
      <c r="V34" s="83"/>
      <c r="W34" s="77"/>
      <c r="X34" s="77"/>
      <c r="Y34" s="75">
        <f>SUM(V34:X34)</f>
        <v>0</v>
      </c>
      <c r="Z34" s="75"/>
      <c r="AA34" s="14">
        <f>Y34+Z34</f>
        <v>0</v>
      </c>
      <c r="AB34" s="145" t="e">
        <f>(AA34/O34)</f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/>
      <c r="E35" s="77"/>
      <c r="F35" s="77"/>
      <c r="G35" s="75">
        <f>SUM(D35:F35)</f>
        <v>0</v>
      </c>
      <c r="H35" s="75"/>
      <c r="I35" s="14">
        <f>G35+H35</f>
        <v>0</v>
      </c>
      <c r="J35" s="656"/>
      <c r="K35" s="655"/>
      <c r="L35" s="655"/>
      <c r="M35" s="654">
        <f>SUM(J35:L35)</f>
        <v>0</v>
      </c>
      <c r="N35" s="654"/>
      <c r="O35" s="621">
        <f>M35+N35</f>
        <v>0</v>
      </c>
      <c r="P35" s="83"/>
      <c r="Q35" s="77"/>
      <c r="R35" s="77"/>
      <c r="S35" s="75">
        <f>SUM(P35:R35)</f>
        <v>0</v>
      </c>
      <c r="T35" s="75"/>
      <c r="U35" s="14">
        <f>S35+T35</f>
        <v>0</v>
      </c>
      <c r="V35" s="83"/>
      <c r="W35" s="77"/>
      <c r="X35" s="77"/>
      <c r="Y35" s="75">
        <f>SUM(V35:X35)</f>
        <v>0</v>
      </c>
      <c r="Z35" s="75"/>
      <c r="AA35" s="14">
        <f>Y35+Z35</f>
        <v>0</v>
      </c>
      <c r="AB35" s="145" t="e">
        <f>(AA35/O35)</f>
        <v>#DIV/0!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>SUM(D36:F36)</f>
        <v>0</v>
      </c>
      <c r="H36" s="75"/>
      <c r="I36" s="14">
        <f>G36+H36</f>
        <v>0</v>
      </c>
      <c r="J36" s="656"/>
      <c r="K36" s="655"/>
      <c r="L36" s="655"/>
      <c r="M36" s="654">
        <f>SUM(J36:L36)</f>
        <v>0</v>
      </c>
      <c r="N36" s="654"/>
      <c r="O36" s="621">
        <f>M36+N36</f>
        <v>0</v>
      </c>
      <c r="P36" s="82"/>
      <c r="Q36" s="77"/>
      <c r="R36" s="77"/>
      <c r="S36" s="75">
        <f>SUM(P36:R36)</f>
        <v>0</v>
      </c>
      <c r="T36" s="75"/>
      <c r="U36" s="14">
        <f>S36+T36</f>
        <v>0</v>
      </c>
      <c r="V36" s="82"/>
      <c r="W36" s="77"/>
      <c r="X36" s="77"/>
      <c r="Y36" s="75">
        <f>SUM(V36:X36)</f>
        <v>0</v>
      </c>
      <c r="Z36" s="75"/>
      <c r="AA36" s="14">
        <f>Y36+Z36</f>
        <v>0</v>
      </c>
      <c r="AB36" s="145" t="e">
        <f>(AA36/O36)</f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871.1</v>
      </c>
      <c r="E37" s="77"/>
      <c r="F37" s="77">
        <v>965.2</v>
      </c>
      <c r="G37" s="75">
        <f>SUM(D37:F37)</f>
        <v>1836.3000000000002</v>
      </c>
      <c r="H37" s="75"/>
      <c r="I37" s="14">
        <f>G37+H37</f>
        <v>1836.3000000000002</v>
      </c>
      <c r="J37" s="656">
        <v>821</v>
      </c>
      <c r="K37" s="655"/>
      <c r="L37" s="655">
        <v>957</v>
      </c>
      <c r="M37" s="654">
        <f>SUM(J37:L37)</f>
        <v>1778</v>
      </c>
      <c r="N37" s="654"/>
      <c r="O37" s="621">
        <f>M37+N37</f>
        <v>1778</v>
      </c>
      <c r="P37" s="82">
        <v>963.2</v>
      </c>
      <c r="Q37" s="77"/>
      <c r="R37" s="77"/>
      <c r="S37" s="75">
        <f>SUM(P37:R37)</f>
        <v>963.2</v>
      </c>
      <c r="T37" s="75"/>
      <c r="U37" s="14">
        <f>S37+T37</f>
        <v>963.2</v>
      </c>
      <c r="V37" s="82">
        <v>821</v>
      </c>
      <c r="W37" s="77"/>
      <c r="X37" s="77">
        <v>957</v>
      </c>
      <c r="Y37" s="75">
        <f>SUM(V37:X37)</f>
        <v>1778</v>
      </c>
      <c r="Z37" s="75"/>
      <c r="AA37" s="14">
        <f>Y37+Z37</f>
        <v>1778</v>
      </c>
      <c r="AB37" s="145">
        <f>(AA37/O37)</f>
        <v>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399.9</v>
      </c>
      <c r="E38" s="311">
        <v>890</v>
      </c>
      <c r="F38" s="78">
        <v>743.6</v>
      </c>
      <c r="G38" s="75">
        <f>SUM(D38:F38)</f>
        <v>2033.5</v>
      </c>
      <c r="H38" s="79"/>
      <c r="I38" s="23">
        <f>G38+H38</f>
        <v>2033.5</v>
      </c>
      <c r="J38" s="653">
        <v>649.70000000000005</v>
      </c>
      <c r="K38" s="652">
        <v>1001.2</v>
      </c>
      <c r="L38" s="652">
        <v>197</v>
      </c>
      <c r="M38" s="651">
        <f>SUM(J38:L38)</f>
        <v>1847.9</v>
      </c>
      <c r="N38" s="651"/>
      <c r="O38" s="619">
        <f>M38+N38</f>
        <v>1847.9</v>
      </c>
      <c r="P38" s="84">
        <v>100</v>
      </c>
      <c r="Q38" s="78">
        <v>41.7</v>
      </c>
      <c r="R38" s="78">
        <v>60.8</v>
      </c>
      <c r="S38" s="79">
        <f>SUM(P38:R38)</f>
        <v>202.5</v>
      </c>
      <c r="T38" s="79"/>
      <c r="U38" s="23">
        <f>S38+T38</f>
        <v>202.5</v>
      </c>
      <c r="V38" s="84">
        <v>294.39999999999998</v>
      </c>
      <c r="W38" s="78">
        <v>500</v>
      </c>
      <c r="X38" s="78">
        <v>190</v>
      </c>
      <c r="Y38" s="79">
        <f>SUM(V38:X38)</f>
        <v>984.4</v>
      </c>
      <c r="Z38" s="79"/>
      <c r="AA38" s="23">
        <f>Y38+Z38</f>
        <v>984.4</v>
      </c>
      <c r="AB38" s="148">
        <f>(AA38/O38)</f>
        <v>0.53271280913469343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5641.8</v>
      </c>
      <c r="E39" s="42">
        <f>SUM(E35:E38)+SUM(E28:E32)</f>
        <v>57724.700000000004</v>
      </c>
      <c r="F39" s="42">
        <f>SUM(F35:F38)+SUM(F28:F32)</f>
        <v>4532.6000000000004</v>
      </c>
      <c r="G39" s="144">
        <f>SUM(D39:F39)</f>
        <v>67899.100000000006</v>
      </c>
      <c r="H39" s="43">
        <f>SUM(H28:H32)+SUM(H35:H38)</f>
        <v>127.4</v>
      </c>
      <c r="I39" s="44">
        <f>SUM(I35:I38)+SUM(I28:I32)</f>
        <v>68026.5</v>
      </c>
      <c r="J39" s="650">
        <f>SUM(J35:J38)+SUM(J28:J32)</f>
        <v>7791.1</v>
      </c>
      <c r="K39" s="650">
        <f>SUM(K35:K38)+SUM(K28:K32)</f>
        <v>60001.2</v>
      </c>
      <c r="L39" s="650">
        <f>SUM(L35:L38)+SUM(L28:L32)</f>
        <v>5017</v>
      </c>
      <c r="M39" s="649">
        <f>SUM(J39:L39)</f>
        <v>72809.3</v>
      </c>
      <c r="N39" s="648">
        <f>SUM(N28:N32)+SUM(N35:N38)</f>
        <v>0</v>
      </c>
      <c r="O39" s="617">
        <f>SUM(O35:O38)+SUM(O28:O32)</f>
        <v>72809.299999999988</v>
      </c>
      <c r="P39" s="42">
        <f>SUM(P35:P38)+SUM(P28:P32)</f>
        <v>3657.8</v>
      </c>
      <c r="Q39" s="42">
        <f>SUM(Q35:Q38)+SUM(Q28:Q32)</f>
        <v>26873.7</v>
      </c>
      <c r="R39" s="42">
        <f>SUM(R35:R38)+SUM(R28:R32)</f>
        <v>1416.7</v>
      </c>
      <c r="S39" s="144">
        <f>SUM(P39:R39)</f>
        <v>31948.2</v>
      </c>
      <c r="T39" s="43">
        <f>SUM(T28:T32)+SUM(T35:T38)</f>
        <v>0</v>
      </c>
      <c r="U39" s="44">
        <f>SUM(U35:U38)+SUM(U28:U32)</f>
        <v>31948.2</v>
      </c>
      <c r="V39" s="42">
        <f>SUM(V35:V38)+SUM(V28:V32)</f>
        <v>8241.3000000000011</v>
      </c>
      <c r="W39" s="42">
        <f>SUM(W35:W38)+SUM(W28:W32)</f>
        <v>55000</v>
      </c>
      <c r="X39" s="42">
        <f>SUM(X35:X38)+SUM(X28:X32)</f>
        <v>5057</v>
      </c>
      <c r="Y39" s="144">
        <f>SUM(V39:X39)</f>
        <v>68298.3</v>
      </c>
      <c r="Z39" s="43">
        <f>SUM(Z28:Z32)+SUM(Z35:Z38)</f>
        <v>0</v>
      </c>
      <c r="AA39" s="44">
        <f>SUM(AA35:AA38)+SUM(AA28:AA32)</f>
        <v>68298.299999999988</v>
      </c>
      <c r="AB39" s="150">
        <f>(AA39/O39)</f>
        <v>0.93804362904189431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0</v>
      </c>
      <c r="E40" s="109">
        <f>E24-E39</f>
        <v>0</v>
      </c>
      <c r="F40" s="109">
        <f>F24-F39</f>
        <v>170.39999999999964</v>
      </c>
      <c r="G40" s="118">
        <f>G24-G39</f>
        <v>170.39999999999418</v>
      </c>
      <c r="H40" s="118">
        <f>H24-H39</f>
        <v>97.799999999999983</v>
      </c>
      <c r="I40" s="119">
        <f>I24-I39</f>
        <v>268.19999999999709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0</v>
      </c>
      <c r="O40" s="614">
        <f>O24-O39</f>
        <v>0</v>
      </c>
      <c r="P40" s="109">
        <f>P24-P39</f>
        <v>35.699999999999818</v>
      </c>
      <c r="Q40" s="109">
        <f>Q24-Q39</f>
        <v>1882.5</v>
      </c>
      <c r="R40" s="109">
        <f>R24-R39</f>
        <v>568.19999999999982</v>
      </c>
      <c r="S40" s="118">
        <f>S24-S39</f>
        <v>2486.3999999999978</v>
      </c>
      <c r="T40" s="118">
        <f>T24-T39</f>
        <v>90.9</v>
      </c>
      <c r="U40" s="119">
        <f>U24-U39</f>
        <v>2577.3000000000065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151" t="e">
        <f>(AA40/O40)</f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-5041.0000000000027</v>
      </c>
      <c r="J41" s="112"/>
      <c r="K41" s="113"/>
      <c r="L41" s="113"/>
      <c r="M41" s="114"/>
      <c r="N41" s="117"/>
      <c r="O41" s="116">
        <f>O40-J16</f>
        <v>-6955.6</v>
      </c>
      <c r="P41" s="112"/>
      <c r="Q41" s="113"/>
      <c r="R41" s="113"/>
      <c r="S41" s="114"/>
      <c r="T41" s="117"/>
      <c r="U41" s="116">
        <f>U40-P16</f>
        <v>-780.69999999999345</v>
      </c>
      <c r="V41" s="112"/>
      <c r="W41" s="113"/>
      <c r="X41" s="113"/>
      <c r="Y41" s="114"/>
      <c r="Z41" s="117"/>
      <c r="AA41" s="116">
        <f>AA40-V16</f>
        <v>-7000</v>
      </c>
      <c r="AB41" s="145">
        <f>(AA41/O41)</f>
        <v>1.0063833457933176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393</v>
      </c>
      <c r="E44" s="104">
        <v>393</v>
      </c>
      <c r="F44" s="105">
        <v>0</v>
      </c>
      <c r="G44" s="49"/>
      <c r="H44" s="49"/>
      <c r="I44" s="50"/>
      <c r="J44" s="94">
        <v>393</v>
      </c>
      <c r="K44" s="104">
        <v>393</v>
      </c>
      <c r="L44" s="105">
        <v>0</v>
      </c>
      <c r="M44" s="93"/>
      <c r="N44" s="93"/>
      <c r="O44" s="93"/>
      <c r="P44" s="94">
        <v>196.5</v>
      </c>
      <c r="Q44" s="104">
        <v>196.5</v>
      </c>
      <c r="R44" s="105">
        <v>0</v>
      </c>
      <c r="S44" s="4"/>
      <c r="T44" s="4"/>
      <c r="U44" s="4"/>
      <c r="V44" s="94">
        <v>393</v>
      </c>
      <c r="W44" s="104">
        <v>393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98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252</v>
      </c>
      <c r="D50" s="85">
        <v>369.9</v>
      </c>
      <c r="E50" s="85">
        <v>239.1</v>
      </c>
      <c r="F50" s="85">
        <v>0</v>
      </c>
      <c r="G50" s="52">
        <f>D50+E50-F50</f>
        <v>609</v>
      </c>
      <c r="H50" s="49"/>
      <c r="I50" s="4"/>
      <c r="J50" s="52">
        <v>609</v>
      </c>
      <c r="K50" s="85"/>
      <c r="L50" s="85"/>
      <c r="M50" s="52">
        <f>J50+K50-L50</f>
        <v>609</v>
      </c>
      <c r="N50" s="4"/>
      <c r="O50" s="4"/>
      <c r="P50" s="85">
        <v>609</v>
      </c>
      <c r="Q50" s="85"/>
      <c r="R50" s="85"/>
      <c r="S50" s="52">
        <f>P50+Q50-R50</f>
        <v>609</v>
      </c>
      <c r="T50" s="4"/>
      <c r="U50" s="4"/>
      <c r="V50" s="85">
        <v>609</v>
      </c>
      <c r="W50" s="85"/>
      <c r="X50" s="85"/>
      <c r="Y50" s="52">
        <f>V50+W50-X50</f>
        <v>609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251</v>
      </c>
      <c r="D51" s="85">
        <v>1656.8</v>
      </c>
      <c r="E51" s="85">
        <v>8007.3</v>
      </c>
      <c r="F51" s="85">
        <v>1560.7</v>
      </c>
      <c r="G51" s="52">
        <f>D51+E51-F51</f>
        <v>8103.4000000000005</v>
      </c>
      <c r="H51" s="49"/>
      <c r="I51" s="4"/>
      <c r="J51" s="52">
        <v>8103.4</v>
      </c>
      <c r="K51" s="85"/>
      <c r="L51" s="85">
        <v>8103.4</v>
      </c>
      <c r="M51" s="52">
        <f>J51+K51-L51</f>
        <v>0</v>
      </c>
      <c r="N51" s="4"/>
      <c r="O51" s="4"/>
      <c r="P51" s="85">
        <v>96</v>
      </c>
      <c r="Q51" s="85"/>
      <c r="R51" s="85"/>
      <c r="S51" s="52">
        <f>P51+Q51-R51</f>
        <v>96</v>
      </c>
      <c r="T51" s="4"/>
      <c r="U51" s="4"/>
      <c r="V51" s="85"/>
      <c r="W51" s="85"/>
      <c r="X51" s="85"/>
      <c r="Y51" s="52">
        <f>V51+W51-X51</f>
        <v>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1371.2</v>
      </c>
      <c r="E52" s="85">
        <v>871</v>
      </c>
      <c r="F52" s="85">
        <v>1329</v>
      </c>
      <c r="G52" s="52">
        <f>D52+E52-F52</f>
        <v>913.19999999999982</v>
      </c>
      <c r="H52" s="49"/>
      <c r="I52" s="4"/>
      <c r="J52" s="52">
        <v>913.2</v>
      </c>
      <c r="K52" s="85">
        <v>871</v>
      </c>
      <c r="L52" s="85">
        <v>500</v>
      </c>
      <c r="M52" s="52">
        <f>J52+K52-L52</f>
        <v>1284.2</v>
      </c>
      <c r="N52" s="4"/>
      <c r="O52" s="4"/>
      <c r="P52" s="85">
        <v>913.2</v>
      </c>
      <c r="Q52" s="85">
        <v>463</v>
      </c>
      <c r="R52" s="85">
        <v>340.8</v>
      </c>
      <c r="S52" s="52">
        <f>P52+Q52-R52</f>
        <v>1035.4000000000001</v>
      </c>
      <c r="T52" s="4"/>
      <c r="U52" s="4"/>
      <c r="V52" s="85">
        <v>1284.2</v>
      </c>
      <c r="W52" s="85">
        <v>871</v>
      </c>
      <c r="X52" s="85">
        <v>800</v>
      </c>
      <c r="Y52" s="52">
        <f>V52+W52-X52</f>
        <v>1355.1999999999998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45.7</v>
      </c>
      <c r="E53" s="85">
        <v>59.7</v>
      </c>
      <c r="F53" s="85">
        <v>2.1</v>
      </c>
      <c r="G53" s="52">
        <f>D53+E53-F53</f>
        <v>103.30000000000001</v>
      </c>
      <c r="H53" s="49"/>
      <c r="I53" s="4"/>
      <c r="J53" s="52">
        <v>103.3</v>
      </c>
      <c r="K53" s="85"/>
      <c r="L53" s="85"/>
      <c r="M53" s="52">
        <f>J53+K53-L53</f>
        <v>103.3</v>
      </c>
      <c r="N53" s="4"/>
      <c r="O53" s="4"/>
      <c r="P53" s="85">
        <v>103.3</v>
      </c>
      <c r="Q53" s="85"/>
      <c r="R53" s="85"/>
      <c r="S53" s="52">
        <f>P53+Q53-R53</f>
        <v>103.3</v>
      </c>
      <c r="T53" s="4"/>
      <c r="U53" s="4"/>
      <c r="V53" s="85">
        <v>103.3</v>
      </c>
      <c r="W53" s="85"/>
      <c r="X53" s="85"/>
      <c r="Y53" s="52">
        <f>V53+W53-X53</f>
        <v>103.3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612.5</v>
      </c>
      <c r="E54" s="85">
        <v>801.8</v>
      </c>
      <c r="F54" s="85">
        <v>695.3</v>
      </c>
      <c r="G54" s="52">
        <f>D54+E54-F54</f>
        <v>719</v>
      </c>
      <c r="H54" s="49"/>
      <c r="I54" s="4"/>
      <c r="J54" s="52">
        <v>719</v>
      </c>
      <c r="K54" s="85">
        <v>383</v>
      </c>
      <c r="L54" s="85">
        <v>500</v>
      </c>
      <c r="M54" s="52">
        <f>J54+K54-L54</f>
        <v>602</v>
      </c>
      <c r="N54" s="4"/>
      <c r="O54" s="4"/>
      <c r="P54" s="85">
        <v>719</v>
      </c>
      <c r="Q54" s="85">
        <v>191.2</v>
      </c>
      <c r="R54" s="85">
        <v>195.1</v>
      </c>
      <c r="S54" s="52">
        <f>P54+Q54-R54</f>
        <v>715.1</v>
      </c>
      <c r="T54" s="4"/>
      <c r="U54" s="4"/>
      <c r="V54" s="85">
        <v>602</v>
      </c>
      <c r="W54" s="85">
        <v>380</v>
      </c>
      <c r="X54" s="85">
        <v>500</v>
      </c>
      <c r="Y54" s="52">
        <f>V54+W54-X54</f>
        <v>482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/>
      <c r="E57" s="86">
        <v>76</v>
      </c>
      <c r="F57" s="49"/>
      <c r="G57" s="49"/>
      <c r="H57" s="49"/>
      <c r="I57" s="50"/>
      <c r="J57" s="86">
        <v>77</v>
      </c>
      <c r="K57" s="49"/>
      <c r="L57" s="49"/>
      <c r="M57" s="49"/>
      <c r="N57" s="49"/>
      <c r="O57" s="50"/>
      <c r="P57" s="86">
        <v>76</v>
      </c>
      <c r="Q57" s="50"/>
      <c r="R57" s="50"/>
      <c r="S57" s="50"/>
      <c r="T57" s="50"/>
      <c r="U57" s="50"/>
      <c r="V57" s="86">
        <v>77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 t="s">
        <v>250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 t="s">
        <v>249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 t="s">
        <v>248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 t="s">
        <v>247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24"/>
      <c r="C65" s="125"/>
      <c r="D65" s="2"/>
      <c r="E65" s="2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24"/>
      <c r="C66" s="125"/>
      <c r="D66" s="2"/>
      <c r="E66" s="2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34"/>
      <c r="C67" s="135"/>
      <c r="D67" s="136"/>
      <c r="E67" s="13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4"/>
      <c r="W67" s="154"/>
      <c r="X67" s="154"/>
      <c r="Y67" s="154"/>
      <c r="Z67" s="154"/>
      <c r="AA67" s="154"/>
      <c r="AB67" s="155"/>
      <c r="AC67" s="4"/>
      <c r="AD67" s="4"/>
    </row>
    <row r="68" spans="1:30" x14ac:dyDescent="0.25">
      <c r="A68" s="87"/>
      <c r="B68" s="138"/>
      <c r="C68" s="137"/>
      <c r="D68" s="138"/>
      <c r="E68" s="138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87"/>
      <c r="B69" s="138"/>
      <c r="C69" s="137"/>
      <c r="D69" s="138"/>
      <c r="E69" s="138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5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5"/>
      <c r="B71" s="53" t="s">
        <v>80</v>
      </c>
      <c r="C71" s="120">
        <v>45506</v>
      </c>
      <c r="D71" s="53" t="s">
        <v>76</v>
      </c>
      <c r="E71" s="216" t="s">
        <v>246</v>
      </c>
      <c r="F71" s="216"/>
      <c r="G71" s="216"/>
      <c r="H71" s="53"/>
      <c r="I71" s="53" t="s">
        <v>77</v>
      </c>
      <c r="J71" s="223" t="s">
        <v>245</v>
      </c>
      <c r="K71" s="223"/>
      <c r="L71" s="223"/>
      <c r="M71" s="223"/>
      <c r="N71" s="53"/>
      <c r="O71" s="53"/>
      <c r="P71" s="53"/>
      <c r="Q71" s="53"/>
      <c r="R71" s="53"/>
      <c r="S71" s="53"/>
      <c r="T71" s="53"/>
      <c r="U71" s="53"/>
      <c r="V71" s="4"/>
      <c r="W71" s="4"/>
      <c r="X71" s="4"/>
      <c r="Y71" s="4"/>
      <c r="Z71" s="4"/>
      <c r="AA71" s="4"/>
      <c r="AB71" s="4"/>
      <c r="AC71" s="4"/>
      <c r="AD71" s="4"/>
    </row>
    <row r="72" spans="1:30" ht="7.5" customHeight="1" x14ac:dyDescent="0.25">
      <c r="A72" s="5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5"/>
      <c r="B73" s="53"/>
      <c r="C73" s="53"/>
      <c r="D73" s="53" t="s">
        <v>79</v>
      </c>
      <c r="E73" s="55"/>
      <c r="F73" s="55"/>
      <c r="G73" s="55"/>
      <c r="H73" s="53"/>
      <c r="I73" s="53" t="s">
        <v>79</v>
      </c>
      <c r="J73" s="54"/>
      <c r="K73" s="54"/>
      <c r="L73" s="54"/>
      <c r="M73" s="54"/>
      <c r="N73" s="53"/>
      <c r="O73" s="53"/>
      <c r="P73" s="53"/>
      <c r="Q73" s="53"/>
      <c r="R73" s="53"/>
      <c r="S73" s="53"/>
      <c r="T73" s="53"/>
      <c r="U73" s="53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/>
      <c r="E74" s="55"/>
      <c r="F74" s="55"/>
      <c r="G74" s="55"/>
      <c r="H74" s="53"/>
      <c r="I74" s="53"/>
      <c r="J74" s="54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hidden="1" x14ac:dyDescent="0.25">
      <c r="AC77" s="3"/>
      <c r="AD77" s="3"/>
    </row>
    <row r="78" spans="1:30" hidden="1" x14ac:dyDescent="0.25"/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Z13:Z14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P26:R26"/>
    <mergeCell ref="S26:S27"/>
    <mergeCell ref="T26:T27"/>
    <mergeCell ref="U26:U27"/>
    <mergeCell ref="AB25:AB27"/>
    <mergeCell ref="V26:X26"/>
    <mergeCell ref="AA26:AA27"/>
    <mergeCell ref="D11:G11"/>
    <mergeCell ref="C10:C13"/>
    <mergeCell ref="D13:F13"/>
    <mergeCell ref="H26:H27"/>
    <mergeCell ref="I26:I27"/>
    <mergeCell ref="P10:U10"/>
    <mergeCell ref="S13:S14"/>
    <mergeCell ref="T13:T14"/>
    <mergeCell ref="U13:U14"/>
    <mergeCell ref="P25:U25"/>
    <mergeCell ref="E71:G71"/>
    <mergeCell ref="J71:M71"/>
    <mergeCell ref="B63:U63"/>
    <mergeCell ref="D4:U4"/>
    <mergeCell ref="D8:U8"/>
    <mergeCell ref="C43:C44"/>
    <mergeCell ref="C46:C47"/>
    <mergeCell ref="C26:C27"/>
    <mergeCell ref="D12:I12"/>
    <mergeCell ref="D10:I10"/>
    <mergeCell ref="M26:M27"/>
    <mergeCell ref="N26:N27"/>
    <mergeCell ref="O26:O27"/>
    <mergeCell ref="G13:G14"/>
    <mergeCell ref="H13:H14"/>
    <mergeCell ref="I13:I14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21" priority="3" operator="equal">
      <formula>0</formula>
    </cfRule>
    <cfRule type="containsErrors" dxfId="20" priority="4">
      <formula>ISERROR(AB15)</formula>
    </cfRule>
  </conditionalFormatting>
  <conditionalFormatting sqref="AB28:AB41">
    <cfRule type="cellIs" dxfId="19" priority="1" operator="equal">
      <formula>0</formula>
    </cfRule>
    <cfRule type="containsErrors" dxfId="1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276"/>
  <sheetViews>
    <sheetView showGridLines="0" zoomScale="85" zoomScaleNormal="85" zoomScaleSheetLayoutView="80" workbookViewId="0">
      <selection activeCell="Y28" sqref="Y28:Y3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914" t="s">
        <v>265</v>
      </c>
      <c r="C2" s="913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71" t="s">
        <v>264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81">
        <v>831476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647" t="s">
        <v>263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112</v>
      </c>
      <c r="AC10" s="4"/>
      <c r="AD10" s="4"/>
    </row>
    <row r="11" spans="1:30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1496.8</v>
      </c>
      <c r="G15" s="63">
        <f>SUM(D15:F15)</f>
        <v>1496.8</v>
      </c>
      <c r="H15" s="66">
        <v>220.2</v>
      </c>
      <c r="I15" s="14">
        <f>G15+H15</f>
        <v>1717</v>
      </c>
      <c r="J15" s="687"/>
      <c r="K15" s="686"/>
      <c r="L15" s="685">
        <v>1400</v>
      </c>
      <c r="M15" s="684">
        <f>SUM(J15:L15)</f>
        <v>1400</v>
      </c>
      <c r="N15" s="66"/>
      <c r="O15" s="621">
        <f>M15+N15</f>
        <v>1400</v>
      </c>
      <c r="P15" s="12"/>
      <c r="Q15" s="13"/>
      <c r="R15" s="646">
        <v>950.6</v>
      </c>
      <c r="S15" s="63">
        <f>SUM(P15:R15)</f>
        <v>950.6</v>
      </c>
      <c r="T15" s="66">
        <v>128.80000000000001</v>
      </c>
      <c r="U15" s="14">
        <f>S15+T15</f>
        <v>1079.4000000000001</v>
      </c>
      <c r="V15" s="12"/>
      <c r="W15" s="13"/>
      <c r="X15" s="56">
        <v>1700</v>
      </c>
      <c r="Y15" s="63">
        <f>SUM(V15:X15)</f>
        <v>1700</v>
      </c>
      <c r="Z15" s="66">
        <v>210</v>
      </c>
      <c r="AA15" s="14">
        <f>Y15+Z15</f>
        <v>1910</v>
      </c>
      <c r="AB15" s="145">
        <f>(AA15/O15)</f>
        <v>1.3642857142857143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5916.4</v>
      </c>
      <c r="E16" s="16"/>
      <c r="F16" s="16"/>
      <c r="G16" s="64">
        <f>SUM(D16:F16)</f>
        <v>5916.4</v>
      </c>
      <c r="H16" s="67"/>
      <c r="I16" s="14">
        <f>G16+H16</f>
        <v>5916.4</v>
      </c>
      <c r="J16" s="683">
        <v>6141.3</v>
      </c>
      <c r="K16" s="674"/>
      <c r="L16" s="674"/>
      <c r="M16" s="672">
        <f>SUM(J16:L16)</f>
        <v>6141.3</v>
      </c>
      <c r="N16" s="67"/>
      <c r="O16" s="621">
        <f>M16+N16</f>
        <v>6141.3</v>
      </c>
      <c r="P16" s="57">
        <v>2970.7</v>
      </c>
      <c r="Q16" s="645"/>
      <c r="R16" s="16"/>
      <c r="S16" s="64">
        <f>SUM(P16:R16)</f>
        <v>2970.7</v>
      </c>
      <c r="T16" s="67"/>
      <c r="U16" s="14">
        <f>S16+T16</f>
        <v>2970.7</v>
      </c>
      <c r="V16" s="57">
        <v>6141.3</v>
      </c>
      <c r="W16" s="16"/>
      <c r="X16" s="16"/>
      <c r="Y16" s="64">
        <f>SUM(V16:X16)</f>
        <v>6141.3</v>
      </c>
      <c r="Z16" s="67"/>
      <c r="AA16" s="14">
        <f>Y16+Z16</f>
        <v>6141.3</v>
      </c>
      <c r="AB16" s="145">
        <f>(AA16/O16)</f>
        <v>1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384.2</v>
      </c>
      <c r="E17" s="17"/>
      <c r="F17" s="17"/>
      <c r="G17" s="64">
        <f>SUM(D17:F17)</f>
        <v>384.2</v>
      </c>
      <c r="H17" s="68"/>
      <c r="I17" s="14">
        <f>G17+H17</f>
        <v>384.2</v>
      </c>
      <c r="J17" s="421">
        <v>1357.5</v>
      </c>
      <c r="K17" s="677"/>
      <c r="L17" s="677"/>
      <c r="M17" s="672">
        <f>SUM(J17:L17)</f>
        <v>1357.5</v>
      </c>
      <c r="N17" s="68"/>
      <c r="O17" s="621">
        <f>M17+N17</f>
        <v>1357.5</v>
      </c>
      <c r="P17" s="58">
        <v>318.73</v>
      </c>
      <c r="Q17" s="17"/>
      <c r="R17" s="17"/>
      <c r="S17" s="64">
        <f>SUM(P17:R17)</f>
        <v>318.73</v>
      </c>
      <c r="T17" s="68"/>
      <c r="U17" s="14">
        <f>S17+T17</f>
        <v>318.73</v>
      </c>
      <c r="V17" s="58">
        <v>1962.3</v>
      </c>
      <c r="W17" s="17"/>
      <c r="X17" s="17"/>
      <c r="Y17" s="64">
        <f>SUM(V17:X17)</f>
        <v>1962.3</v>
      </c>
      <c r="Z17" s="68"/>
      <c r="AA17" s="14">
        <f>Y17+Z17</f>
        <v>1962.3</v>
      </c>
      <c r="AB17" s="145">
        <f>(AA17/O17)</f>
        <v>1.4455248618784531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48618.03</v>
      </c>
      <c r="F18" s="17"/>
      <c r="G18" s="64">
        <f>SUM(D18:F18)</f>
        <v>48618.03</v>
      </c>
      <c r="H18" s="66"/>
      <c r="I18" s="14">
        <f>G18+H18</f>
        <v>48618.03</v>
      </c>
      <c r="J18" s="675"/>
      <c r="K18" s="680">
        <v>39837</v>
      </c>
      <c r="L18" s="677"/>
      <c r="M18" s="672">
        <f>SUM(J18:L18)</f>
        <v>39837</v>
      </c>
      <c r="N18" s="66"/>
      <c r="O18" s="621">
        <f>M18+N18</f>
        <v>39837</v>
      </c>
      <c r="P18" s="18"/>
      <c r="Q18" s="59">
        <v>23961.9</v>
      </c>
      <c r="R18" s="17"/>
      <c r="S18" s="64">
        <f>SUM(P18:R18)</f>
        <v>23961.9</v>
      </c>
      <c r="T18" s="66"/>
      <c r="U18" s="14">
        <f>S18+T18</f>
        <v>23961.9</v>
      </c>
      <c r="V18" s="18"/>
      <c r="W18" s="59">
        <v>42446.7</v>
      </c>
      <c r="X18" s="17"/>
      <c r="Y18" s="64">
        <f>SUM(V18:X18)</f>
        <v>42446.7</v>
      </c>
      <c r="Z18" s="66"/>
      <c r="AA18" s="14">
        <f>Y18+Z18</f>
        <v>42446.7</v>
      </c>
      <c r="AB18" s="145">
        <f>(AA18/O18)</f>
        <v>1.0655094510128773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>SUM(D19:F19)</f>
        <v>0</v>
      </c>
      <c r="H19" s="69"/>
      <c r="I19" s="14">
        <f>G19+H19</f>
        <v>0</v>
      </c>
      <c r="J19" s="678"/>
      <c r="K19" s="677"/>
      <c r="L19" s="415">
        <v>550.29999999999995</v>
      </c>
      <c r="M19" s="672">
        <f>SUM(J19:L19)</f>
        <v>550.29999999999995</v>
      </c>
      <c r="N19" s="69"/>
      <c r="O19" s="621">
        <f>M19+N19</f>
        <v>550.29999999999995</v>
      </c>
      <c r="P19" s="19"/>
      <c r="Q19" s="17"/>
      <c r="R19" s="60">
        <v>281.39999999999998</v>
      </c>
      <c r="S19" s="64">
        <f>SUM(P19:R19)</f>
        <v>281.39999999999998</v>
      </c>
      <c r="T19" s="69"/>
      <c r="U19" s="14">
        <f>S19+T19</f>
        <v>281.39999999999998</v>
      </c>
      <c r="V19" s="19"/>
      <c r="W19" s="17"/>
      <c r="X19" s="60">
        <v>339.8</v>
      </c>
      <c r="Y19" s="64">
        <f>SUM(V19:X19)</f>
        <v>339.8</v>
      </c>
      <c r="Z19" s="69"/>
      <c r="AA19" s="14">
        <f>Y19+Z19</f>
        <v>339.8</v>
      </c>
      <c r="AB19" s="145">
        <f>(AA19/O19)</f>
        <v>0.61748137379611123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693.4</v>
      </c>
      <c r="G20" s="64">
        <f>SUM(D20:F20)</f>
        <v>693.4</v>
      </c>
      <c r="H20" s="69"/>
      <c r="I20" s="14">
        <f>G20+H20</f>
        <v>693.4</v>
      </c>
      <c r="J20" s="675"/>
      <c r="K20" s="674"/>
      <c r="L20" s="673">
        <v>50</v>
      </c>
      <c r="M20" s="672">
        <f>SUM(J20:L20)</f>
        <v>50</v>
      </c>
      <c r="N20" s="69"/>
      <c r="O20" s="621">
        <f>M20+N20</f>
        <v>50</v>
      </c>
      <c r="P20" s="18"/>
      <c r="Q20" s="16"/>
      <c r="R20" s="61"/>
      <c r="S20" s="64">
        <f>SUM(P20:R20)</f>
        <v>0</v>
      </c>
      <c r="T20" s="69"/>
      <c r="U20" s="14">
        <f>S20+T20</f>
        <v>0</v>
      </c>
      <c r="V20" s="18"/>
      <c r="W20" s="16"/>
      <c r="X20" s="61">
        <v>190</v>
      </c>
      <c r="Y20" s="64">
        <f>SUM(V20:X20)</f>
        <v>190</v>
      </c>
      <c r="Z20" s="69"/>
      <c r="AA20" s="14">
        <f>Y20+Z20</f>
        <v>190</v>
      </c>
      <c r="AB20" s="145">
        <f>(AA20/O20)</f>
        <v>3.8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/>
      <c r="G21" s="64">
        <f>SUM(D21:F21)</f>
        <v>0</v>
      </c>
      <c r="H21" s="70"/>
      <c r="I21" s="14">
        <f>G21+H21</f>
        <v>0</v>
      </c>
      <c r="J21" s="675"/>
      <c r="K21" s="674"/>
      <c r="L21" s="673">
        <v>150</v>
      </c>
      <c r="M21" s="672">
        <f>SUM(J21:L21)</f>
        <v>150</v>
      </c>
      <c r="N21" s="70">
        <v>120</v>
      </c>
      <c r="O21" s="621">
        <f>M21+N21</f>
        <v>270</v>
      </c>
      <c r="P21" s="18"/>
      <c r="Q21" s="16"/>
      <c r="R21" s="61"/>
      <c r="S21" s="64">
        <f>SUM(P21:R21)</f>
        <v>0</v>
      </c>
      <c r="T21" s="70"/>
      <c r="U21" s="14">
        <f>S21+T21</f>
        <v>0</v>
      </c>
      <c r="V21" s="18"/>
      <c r="W21" s="16"/>
      <c r="X21" s="61">
        <v>50</v>
      </c>
      <c r="Y21" s="64">
        <f>SUM(V21:X21)</f>
        <v>50</v>
      </c>
      <c r="Z21" s="70"/>
      <c r="AA21" s="14">
        <f>Y21+Z21</f>
        <v>50</v>
      </c>
      <c r="AB21" s="145">
        <f>(AA21/O21)</f>
        <v>0.18518518518518517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>
        <v>184.6</v>
      </c>
      <c r="I22" s="14">
        <f>G22+H22</f>
        <v>184.6</v>
      </c>
      <c r="J22" s="675"/>
      <c r="K22" s="674"/>
      <c r="L22" s="673"/>
      <c r="M22" s="672">
        <f>SUM(J22:L22)</f>
        <v>0</v>
      </c>
      <c r="N22" s="70">
        <v>120</v>
      </c>
      <c r="O22" s="621">
        <f>M22+N22</f>
        <v>120</v>
      </c>
      <c r="P22" s="18"/>
      <c r="Q22" s="16"/>
      <c r="R22" s="61"/>
      <c r="S22" s="64">
        <f>SUM(P22:R22)</f>
        <v>0</v>
      </c>
      <c r="T22" s="70">
        <v>127.2</v>
      </c>
      <c r="U22" s="14">
        <f>S22+T22</f>
        <v>127.2</v>
      </c>
      <c r="V22" s="18"/>
      <c r="W22" s="16"/>
      <c r="X22" s="61"/>
      <c r="Y22" s="64">
        <f>SUM(V22:X22)</f>
        <v>0</v>
      </c>
      <c r="Z22" s="70">
        <v>200</v>
      </c>
      <c r="AA22" s="14">
        <f>Y22+Z22</f>
        <v>200</v>
      </c>
      <c r="AB22" s="145">
        <f>(AA22/O22)</f>
        <v>1.6666666666666667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>SUM(D23:F23)</f>
        <v>0</v>
      </c>
      <c r="H23" s="71"/>
      <c r="I23" s="23">
        <f>G23+H23</f>
        <v>0</v>
      </c>
      <c r="J23" s="670"/>
      <c r="K23" s="669"/>
      <c r="L23" s="668"/>
      <c r="M23" s="667">
        <f>SUM(J23:L23)</f>
        <v>0</v>
      </c>
      <c r="N23" s="71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148" t="e">
        <f>(AA23/O23)</f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6300.5999999999995</v>
      </c>
      <c r="E24" s="27">
        <f>SUM(E15:E21)</f>
        <v>48618.03</v>
      </c>
      <c r="F24" s="27">
        <f>SUM(F15:F21)</f>
        <v>2190.1999999999998</v>
      </c>
      <c r="G24" s="28">
        <f>SUM(D24:F24)</f>
        <v>57108.829999999994</v>
      </c>
      <c r="H24" s="29">
        <f>SUM(H15:H21)</f>
        <v>220.2</v>
      </c>
      <c r="I24" s="29">
        <f>SUM(I15:I21)</f>
        <v>57329.03</v>
      </c>
      <c r="J24" s="665">
        <f>SUM(J15:J21)</f>
        <v>7498.8</v>
      </c>
      <c r="K24" s="664">
        <f>SUM(K15:K21)</f>
        <v>39837</v>
      </c>
      <c r="L24" s="664">
        <f>SUM(L15:L21)</f>
        <v>2150.3000000000002</v>
      </c>
      <c r="M24" s="663">
        <f>SUM(J24:L24)</f>
        <v>49486.100000000006</v>
      </c>
      <c r="N24" s="644">
        <f>SUM(N15:N21)</f>
        <v>120</v>
      </c>
      <c r="O24" s="644">
        <f>SUM(O15:O21)</f>
        <v>49606.100000000006</v>
      </c>
      <c r="P24" s="26">
        <f>SUM(P15:P21)</f>
        <v>3289.43</v>
      </c>
      <c r="Q24" s="27">
        <f>SUM(Q15:Q21)</f>
        <v>23961.9</v>
      </c>
      <c r="R24" s="27">
        <f>SUM(R15:R21)</f>
        <v>1232</v>
      </c>
      <c r="S24" s="28">
        <f>SUM(P24:R24)</f>
        <v>28483.33</v>
      </c>
      <c r="T24" s="29">
        <f>SUM(T15:T21)</f>
        <v>128.80000000000001</v>
      </c>
      <c r="U24" s="29">
        <f>SUM(U15:U21)</f>
        <v>28612.130000000005</v>
      </c>
      <c r="V24" s="26">
        <f>SUM(V15:V21)</f>
        <v>8103.6</v>
      </c>
      <c r="W24" s="27">
        <f>SUM(W15:W21)</f>
        <v>42446.7</v>
      </c>
      <c r="X24" s="27">
        <f>SUM(X15:X21)</f>
        <v>2279.8000000000002</v>
      </c>
      <c r="Y24" s="28">
        <f>SUM(V24:X24)</f>
        <v>52830.1</v>
      </c>
      <c r="Z24" s="29">
        <f>SUM(Z15:Z21)</f>
        <v>210</v>
      </c>
      <c r="AA24" s="29">
        <f>SUM(AA15:AA21)</f>
        <v>53040.1</v>
      </c>
      <c r="AB24" s="149">
        <f>(AA24/O24)</f>
        <v>1.0692253573653239</v>
      </c>
      <c r="AC24" s="4"/>
      <c r="AD24" s="4"/>
    </row>
    <row r="25" spans="1:30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198" t="s">
        <v>112</v>
      </c>
      <c r="AC25" s="4"/>
      <c r="AD25" s="4"/>
    </row>
    <row r="26" spans="1:30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199"/>
      <c r="AC26" s="4"/>
      <c r="AD26" s="4"/>
    </row>
    <row r="27" spans="1:30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200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547.4</v>
      </c>
      <c r="E28" s="72"/>
      <c r="F28" s="72"/>
      <c r="G28" s="73">
        <f>SUM(D28:F28)</f>
        <v>547.4</v>
      </c>
      <c r="H28" s="73"/>
      <c r="I28" s="37">
        <f>G28+H28</f>
        <v>547.4</v>
      </c>
      <c r="J28" s="80">
        <v>865.4</v>
      </c>
      <c r="K28" s="72"/>
      <c r="L28" s="72"/>
      <c r="M28" s="660">
        <f>SUM(J28:L28)</f>
        <v>865.4</v>
      </c>
      <c r="N28" s="73"/>
      <c r="O28" s="624">
        <f>M28+N28</f>
        <v>865.4</v>
      </c>
      <c r="P28" s="80">
        <v>167.9</v>
      </c>
      <c r="Q28" s="72"/>
      <c r="R28" s="72"/>
      <c r="S28" s="73">
        <f>SUM(P28:R28)</f>
        <v>167.9</v>
      </c>
      <c r="T28" s="73"/>
      <c r="U28" s="37">
        <f>S28+T28</f>
        <v>167.9</v>
      </c>
      <c r="V28" s="80">
        <v>665.4</v>
      </c>
      <c r="W28" s="72"/>
      <c r="X28" s="72"/>
      <c r="Y28" s="73">
        <f>SUM(V28:X28)</f>
        <v>665.4</v>
      </c>
      <c r="Z28" s="73"/>
      <c r="AA28" s="37">
        <f>Y28+Z28</f>
        <v>665.4</v>
      </c>
      <c r="AB28" s="145">
        <f>(AA28/O28)</f>
        <v>0.76889299745782291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623">
        <v>561.5</v>
      </c>
      <c r="E29" s="74">
        <v>543.6</v>
      </c>
      <c r="F29" s="74">
        <v>923.3</v>
      </c>
      <c r="G29" s="75">
        <f>SUM(D29:F29)</f>
        <v>2028.3999999999999</v>
      </c>
      <c r="H29" s="76"/>
      <c r="I29" s="14">
        <f>G29+H29</f>
        <v>2028.3999999999999</v>
      </c>
      <c r="J29" s="81">
        <v>583.20000000000005</v>
      </c>
      <c r="K29" s="74">
        <v>282.3</v>
      </c>
      <c r="L29" s="74">
        <v>1400</v>
      </c>
      <c r="M29" s="654">
        <f>SUM(J29:L29)</f>
        <v>2265.5</v>
      </c>
      <c r="N29" s="76"/>
      <c r="O29" s="621">
        <f>M29+N29</f>
        <v>2265.5</v>
      </c>
      <c r="P29" s="81">
        <v>187.6</v>
      </c>
      <c r="Q29" s="74">
        <v>325.89999999999998</v>
      </c>
      <c r="R29" s="74">
        <v>639.29999999999995</v>
      </c>
      <c r="S29" s="75">
        <f>SUM(P29:R29)</f>
        <v>1152.8</v>
      </c>
      <c r="T29" s="76">
        <v>0.4</v>
      </c>
      <c r="U29" s="14">
        <f>S29+T29</f>
        <v>1153.2</v>
      </c>
      <c r="V29" s="81">
        <v>472.2</v>
      </c>
      <c r="W29" s="74">
        <v>333.5</v>
      </c>
      <c r="X29" s="74">
        <v>1244.5</v>
      </c>
      <c r="Y29" s="75">
        <f>SUM(V29:X29)</f>
        <v>2050.1999999999998</v>
      </c>
      <c r="Z29" s="76">
        <v>3.2</v>
      </c>
      <c r="AA29" s="14">
        <f>Y29+Z29</f>
        <v>2053.3999999999996</v>
      </c>
      <c r="AB29" s="145">
        <f>(AA29/O29)</f>
        <v>0.9063782829397482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2055.6</v>
      </c>
      <c r="E30" s="77"/>
      <c r="F30" s="77"/>
      <c r="G30" s="75">
        <f>SUM(D30:F30)</f>
        <v>2055.6</v>
      </c>
      <c r="H30" s="75">
        <v>77.599999999999994</v>
      </c>
      <c r="I30" s="14">
        <f>G30+H30</f>
        <v>2133.1999999999998</v>
      </c>
      <c r="J30" s="82">
        <v>2701.3</v>
      </c>
      <c r="K30" s="77"/>
      <c r="L30" s="77">
        <v>50</v>
      </c>
      <c r="M30" s="654">
        <f>SUM(J30:L30)</f>
        <v>2751.3</v>
      </c>
      <c r="N30" s="75">
        <v>120</v>
      </c>
      <c r="O30" s="621">
        <f>M30+N30</f>
        <v>2871.3</v>
      </c>
      <c r="P30" s="82">
        <v>1506.9</v>
      </c>
      <c r="Q30" s="77"/>
      <c r="R30" s="77"/>
      <c r="S30" s="75">
        <f>SUM(P30:R30)</f>
        <v>1506.9</v>
      </c>
      <c r="T30" s="75">
        <v>0.3</v>
      </c>
      <c r="U30" s="14">
        <f>S30+T30</f>
        <v>1507.2</v>
      </c>
      <c r="V30" s="82">
        <v>2701.3</v>
      </c>
      <c r="W30" s="77"/>
      <c r="X30" s="77"/>
      <c r="Y30" s="75">
        <f>SUM(V30:X30)</f>
        <v>2701.3</v>
      </c>
      <c r="Z30" s="75">
        <v>201.7</v>
      </c>
      <c r="AA30" s="14">
        <f>Y30+Z30</f>
        <v>2903</v>
      </c>
      <c r="AB30" s="145">
        <f>(AA30/O30)</f>
        <v>1.0110402953366071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1143.3</v>
      </c>
      <c r="E31" s="77">
        <v>2463.1999999999998</v>
      </c>
      <c r="F31" s="77">
        <v>25.1</v>
      </c>
      <c r="G31" s="75">
        <f>SUM(D31:F31)</f>
        <v>3631.6</v>
      </c>
      <c r="H31" s="75"/>
      <c r="I31" s="14">
        <f>G31+H31</f>
        <v>3631.6</v>
      </c>
      <c r="J31" s="82">
        <v>1745.4</v>
      </c>
      <c r="K31" s="77"/>
      <c r="L31" s="77">
        <v>120</v>
      </c>
      <c r="M31" s="654">
        <f>SUM(J31:L31)</f>
        <v>1865.4</v>
      </c>
      <c r="N31" s="75"/>
      <c r="O31" s="621">
        <f>M31+N31</f>
        <v>1865.4</v>
      </c>
      <c r="P31" s="82">
        <v>408.7</v>
      </c>
      <c r="Q31" s="77">
        <v>1532.6</v>
      </c>
      <c r="R31" s="77">
        <v>311.3</v>
      </c>
      <c r="S31" s="75">
        <f>SUM(P31:R31)</f>
        <v>2252.6</v>
      </c>
      <c r="T31" s="75"/>
      <c r="U31" s="14">
        <f>S31+T31</f>
        <v>2252.6</v>
      </c>
      <c r="V31" s="82">
        <v>2172.9</v>
      </c>
      <c r="W31" s="77">
        <v>70</v>
      </c>
      <c r="X31" s="77">
        <v>50</v>
      </c>
      <c r="Y31" s="75">
        <f>SUM(V31:X31)</f>
        <v>2292.9</v>
      </c>
      <c r="Z31" s="75"/>
      <c r="AA31" s="14">
        <f>Y31+Z31</f>
        <v>2292.9</v>
      </c>
      <c r="AB31" s="145">
        <f>(AA31/O31)</f>
        <v>1.2291733676423287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622">
        <v>416.2</v>
      </c>
      <c r="E32" s="77">
        <v>32787.199999999997</v>
      </c>
      <c r="F32" s="77">
        <v>136.1</v>
      </c>
      <c r="G32" s="75">
        <f>SUM(D32:F32)</f>
        <v>33339.499999999993</v>
      </c>
      <c r="H32" s="75"/>
      <c r="I32" s="14">
        <f>G32+H32</f>
        <v>33339.499999999993</v>
      </c>
      <c r="J32" s="83">
        <v>453.1</v>
      </c>
      <c r="K32" s="77">
        <v>28824.6</v>
      </c>
      <c r="L32" s="77"/>
      <c r="M32" s="654">
        <f>SUM(J32:L32)</f>
        <v>29277.699999999997</v>
      </c>
      <c r="N32" s="75"/>
      <c r="O32" s="621">
        <f>M32+N32</f>
        <v>29277.699999999997</v>
      </c>
      <c r="P32" s="83">
        <v>78.400000000000006</v>
      </c>
      <c r="Q32" s="77">
        <v>16377.5</v>
      </c>
      <c r="R32" s="77"/>
      <c r="S32" s="75">
        <f>SUM(P32:R32)</f>
        <v>16455.900000000001</v>
      </c>
      <c r="T32" s="75">
        <v>0.5</v>
      </c>
      <c r="U32" s="14">
        <f>S32+T32</f>
        <v>16456.400000000001</v>
      </c>
      <c r="V32" s="83">
        <v>456.2</v>
      </c>
      <c r="W32" s="77">
        <v>31004.799999999999</v>
      </c>
      <c r="X32" s="77">
        <v>100</v>
      </c>
      <c r="Y32" s="75">
        <f>SUM(V32:X32)</f>
        <v>31561</v>
      </c>
      <c r="Z32" s="75">
        <v>3.8</v>
      </c>
      <c r="AA32" s="14">
        <f>Y32+Z32</f>
        <v>31564.799999999999</v>
      </c>
      <c r="AB32" s="145">
        <f>(AA32/O32)</f>
        <v>1.0781174750748865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622">
        <v>215.2</v>
      </c>
      <c r="E33" s="77">
        <v>31390</v>
      </c>
      <c r="F33" s="77">
        <v>136.1</v>
      </c>
      <c r="G33" s="75">
        <f>SUM(D33:F33)</f>
        <v>31741.3</v>
      </c>
      <c r="H33" s="75"/>
      <c r="I33" s="14">
        <f>G33+H33</f>
        <v>31741.3</v>
      </c>
      <c r="J33" s="83">
        <v>223.1</v>
      </c>
      <c r="K33" s="77">
        <v>28494.6</v>
      </c>
      <c r="L33" s="77"/>
      <c r="M33" s="654">
        <f>SUM(J33:L33)</f>
        <v>28717.699999999997</v>
      </c>
      <c r="N33" s="75"/>
      <c r="O33" s="621">
        <f>M33+N33</f>
        <v>28717.699999999997</v>
      </c>
      <c r="P33" s="83">
        <v>66</v>
      </c>
      <c r="Q33" s="77">
        <v>15595.6</v>
      </c>
      <c r="R33" s="77"/>
      <c r="S33" s="75">
        <f>SUM(P33:R33)</f>
        <v>15661.6</v>
      </c>
      <c r="T33" s="75">
        <v>0.5</v>
      </c>
      <c r="U33" s="14">
        <f>S33+T33</f>
        <v>15662.1</v>
      </c>
      <c r="V33" s="83">
        <v>226.2</v>
      </c>
      <c r="W33" s="77">
        <v>30654.799999999999</v>
      </c>
      <c r="X33" s="77">
        <v>100</v>
      </c>
      <c r="Y33" s="75">
        <f>SUM(V33:X33)</f>
        <v>30981</v>
      </c>
      <c r="Z33" s="75">
        <v>3.8</v>
      </c>
      <c r="AA33" s="14">
        <f>Y33+Z33</f>
        <v>30984.799999999999</v>
      </c>
      <c r="AB33" s="145">
        <f>(AA33/O33)</f>
        <v>1.0789443444286975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622">
        <v>201</v>
      </c>
      <c r="E34" s="77">
        <v>1397.2</v>
      </c>
      <c r="F34" s="77"/>
      <c r="G34" s="75">
        <f>SUM(D34:F34)</f>
        <v>1598.2</v>
      </c>
      <c r="H34" s="75"/>
      <c r="I34" s="14">
        <f>G34+H34</f>
        <v>1598.2</v>
      </c>
      <c r="J34" s="83">
        <v>230</v>
      </c>
      <c r="K34" s="77">
        <v>330</v>
      </c>
      <c r="L34" s="77"/>
      <c r="M34" s="654">
        <f>SUM(J34:L34)</f>
        <v>560</v>
      </c>
      <c r="N34" s="75"/>
      <c r="O34" s="621">
        <f>M34+N34</f>
        <v>560</v>
      </c>
      <c r="P34" s="83">
        <v>12.4</v>
      </c>
      <c r="Q34" s="77">
        <v>781.9</v>
      </c>
      <c r="R34" s="77"/>
      <c r="S34" s="75">
        <f>SUM(P34:R34)</f>
        <v>794.3</v>
      </c>
      <c r="T34" s="75"/>
      <c r="U34" s="14">
        <f>S34+T34</f>
        <v>794.3</v>
      </c>
      <c r="V34" s="83">
        <v>230</v>
      </c>
      <c r="W34" s="77">
        <v>350</v>
      </c>
      <c r="X34" s="77"/>
      <c r="Y34" s="75">
        <f>SUM(V34:X34)</f>
        <v>580</v>
      </c>
      <c r="Z34" s="75"/>
      <c r="AA34" s="14">
        <f>Y34+Z34</f>
        <v>580</v>
      </c>
      <c r="AB34" s="145">
        <f>(AA34/O34)</f>
        <v>1.0357142857142858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622">
        <v>118.8</v>
      </c>
      <c r="E35" s="77">
        <v>10541.93</v>
      </c>
      <c r="F35" s="77"/>
      <c r="G35" s="75">
        <f>SUM(D35:F35)</f>
        <v>10660.73</v>
      </c>
      <c r="H35" s="75"/>
      <c r="I35" s="14">
        <f>G35+H35</f>
        <v>10660.73</v>
      </c>
      <c r="J35" s="83">
        <v>79.900000000000006</v>
      </c>
      <c r="K35" s="77">
        <v>10245.1</v>
      </c>
      <c r="L35" s="77"/>
      <c r="M35" s="654">
        <f>SUM(J35:L35)</f>
        <v>10325</v>
      </c>
      <c r="N35" s="75"/>
      <c r="O35" s="621">
        <f>M35+N35</f>
        <v>10325</v>
      </c>
      <c r="P35" s="83">
        <v>22.3</v>
      </c>
      <c r="Q35" s="77">
        <v>5237.3999999999996</v>
      </c>
      <c r="R35" s="77"/>
      <c r="S35" s="75">
        <f>SUM(P35:R35)</f>
        <v>5259.7</v>
      </c>
      <c r="T35" s="75">
        <v>0.2</v>
      </c>
      <c r="U35" s="14">
        <f>S35+T35</f>
        <v>5259.9</v>
      </c>
      <c r="V35" s="83">
        <v>78.8</v>
      </c>
      <c r="W35" s="77">
        <v>10486.3</v>
      </c>
      <c r="X35" s="77"/>
      <c r="Y35" s="75">
        <f>SUM(V35:X35)</f>
        <v>10565.099999999999</v>
      </c>
      <c r="Z35" s="75">
        <v>1.3</v>
      </c>
      <c r="AA35" s="14">
        <f>Y35+Z35</f>
        <v>10566.399999999998</v>
      </c>
      <c r="AB35" s="145">
        <f>(AA35/O35)</f>
        <v>1.0233801452784501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>SUM(D36:F36)</f>
        <v>0</v>
      </c>
      <c r="H36" s="75"/>
      <c r="I36" s="14">
        <f>G36+H36</f>
        <v>0</v>
      </c>
      <c r="J36" s="82"/>
      <c r="K36" s="77"/>
      <c r="L36" s="77"/>
      <c r="M36" s="654">
        <f>SUM(J36:L36)</f>
        <v>0</v>
      </c>
      <c r="N36" s="75"/>
      <c r="O36" s="621">
        <f>M36+N36</f>
        <v>0</v>
      </c>
      <c r="P36" s="82"/>
      <c r="Q36" s="77"/>
      <c r="R36" s="77"/>
      <c r="S36" s="75">
        <f>SUM(P36:R36)</f>
        <v>0</v>
      </c>
      <c r="T36" s="75"/>
      <c r="U36" s="14">
        <f>S36+T36</f>
        <v>0</v>
      </c>
      <c r="V36" s="82"/>
      <c r="W36" s="77"/>
      <c r="X36" s="77"/>
      <c r="Y36" s="75">
        <f>SUM(V36:X36)</f>
        <v>0</v>
      </c>
      <c r="Z36" s="75"/>
      <c r="AA36" s="14">
        <f>Y36+Z36</f>
        <v>0</v>
      </c>
      <c r="AB36" s="145" t="e">
        <f>(AA36/O36)</f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775.6</v>
      </c>
      <c r="E37" s="77"/>
      <c r="F37" s="77">
        <v>550.29999999999995</v>
      </c>
      <c r="G37" s="75">
        <f>SUM(D37:F37)</f>
        <v>1325.9</v>
      </c>
      <c r="H37" s="75"/>
      <c r="I37" s="14">
        <f>G37+H37</f>
        <v>1325.9</v>
      </c>
      <c r="J37" s="82">
        <v>706.7</v>
      </c>
      <c r="K37" s="77"/>
      <c r="L37" s="77">
        <v>550.29999999999995</v>
      </c>
      <c r="M37" s="654">
        <f>SUM(J37:L37)</f>
        <v>1257</v>
      </c>
      <c r="N37" s="75"/>
      <c r="O37" s="621">
        <f>M37+N37</f>
        <v>1257</v>
      </c>
      <c r="P37" s="82">
        <v>354.1</v>
      </c>
      <c r="Q37" s="77"/>
      <c r="R37" s="77">
        <v>281.39999999999998</v>
      </c>
      <c r="S37" s="75">
        <f>SUM(P37:R37)</f>
        <v>635.5</v>
      </c>
      <c r="T37" s="75"/>
      <c r="U37" s="14">
        <f>S37+T37</f>
        <v>635.5</v>
      </c>
      <c r="V37" s="82">
        <v>683.5</v>
      </c>
      <c r="W37" s="77"/>
      <c r="X37" s="77">
        <v>339.8</v>
      </c>
      <c r="Y37" s="75">
        <f>SUM(V37:X37)</f>
        <v>1023.3</v>
      </c>
      <c r="Z37" s="75"/>
      <c r="AA37" s="14">
        <f>Y37+Z37</f>
        <v>1023.3</v>
      </c>
      <c r="AB37" s="145">
        <f>(AA37/O37)</f>
        <v>0.81408114558472555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11">
        <v>531</v>
      </c>
      <c r="E38" s="311">
        <v>2282.1</v>
      </c>
      <c r="F38" s="78">
        <v>555.4</v>
      </c>
      <c r="G38" s="75">
        <f>SUM(D38:F38)</f>
        <v>3368.5</v>
      </c>
      <c r="H38" s="79"/>
      <c r="I38" s="23">
        <f>G38+H38</f>
        <v>3368.5</v>
      </c>
      <c r="J38" s="84">
        <v>363.8</v>
      </c>
      <c r="K38" s="78">
        <v>485</v>
      </c>
      <c r="L38" s="78">
        <v>30</v>
      </c>
      <c r="M38" s="651">
        <f>SUM(J38:L38)</f>
        <v>878.8</v>
      </c>
      <c r="N38" s="79"/>
      <c r="O38" s="619">
        <f>M38+N38</f>
        <v>878.8</v>
      </c>
      <c r="P38" s="84">
        <v>349</v>
      </c>
      <c r="Q38" s="78">
        <v>488.5</v>
      </c>
      <c r="R38" s="78"/>
      <c r="S38" s="79">
        <f>SUM(P38:R38)</f>
        <v>837.5</v>
      </c>
      <c r="T38" s="79">
        <v>0.06</v>
      </c>
      <c r="U38" s="23">
        <f>S38+T38</f>
        <v>837.56</v>
      </c>
      <c r="V38" s="84">
        <v>873.3</v>
      </c>
      <c r="W38" s="78">
        <v>552.1</v>
      </c>
      <c r="X38" s="78">
        <v>545.5</v>
      </c>
      <c r="Y38" s="79">
        <f>SUM(V38:X38)</f>
        <v>1970.9</v>
      </c>
      <c r="Z38" s="79"/>
      <c r="AA38" s="23">
        <f>Y38+Z38</f>
        <v>1970.9</v>
      </c>
      <c r="AB38" s="148">
        <f>(AA38/O38)</f>
        <v>2.2427173418297679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6149.4</v>
      </c>
      <c r="E39" s="42">
        <f>SUM(E35:E38)+SUM(E28:E32)</f>
        <v>48618.03</v>
      </c>
      <c r="F39" s="42">
        <f>SUM(F35:F38)+SUM(F28:F32)</f>
        <v>2190.1999999999998</v>
      </c>
      <c r="G39" s="144">
        <f>SUM(D39:F39)</f>
        <v>56957.63</v>
      </c>
      <c r="H39" s="43">
        <f>SUM(H28:H32)+SUM(H35:H38)</f>
        <v>77.599999999999994</v>
      </c>
      <c r="I39" s="44">
        <f>SUM(I35:I38)+SUM(I28:I32)</f>
        <v>57035.229999999989</v>
      </c>
      <c r="J39" s="650">
        <f>SUM(J35:J38)+SUM(J28:J32)</f>
        <v>7498.7999999999993</v>
      </c>
      <c r="K39" s="650">
        <f>SUM(K35:K38)+SUM(K28:K32)</f>
        <v>39837</v>
      </c>
      <c r="L39" s="650">
        <f>SUM(L35:L38)+SUM(L28:L32)</f>
        <v>2150.3000000000002</v>
      </c>
      <c r="M39" s="649">
        <f>SUM(J39:L39)</f>
        <v>49486.100000000006</v>
      </c>
      <c r="N39" s="648">
        <f>SUM(N28:N32)+SUM(N35:N38)</f>
        <v>120</v>
      </c>
      <c r="O39" s="617">
        <f>SUM(O35:O38)+SUM(O28:O32)</f>
        <v>49606.099999999991</v>
      </c>
      <c r="P39" s="42">
        <f>SUM(P35:P38)+SUM(P28:P32)</f>
        <v>3074.9</v>
      </c>
      <c r="Q39" s="42">
        <f>SUM(Q35:Q38)+SUM(Q28:Q32)</f>
        <v>23961.9</v>
      </c>
      <c r="R39" s="42">
        <f>SUM(R35:R38)+SUM(R28:R32)</f>
        <v>1232</v>
      </c>
      <c r="S39" s="144">
        <f>SUM(P39:R39)</f>
        <v>28268.800000000003</v>
      </c>
      <c r="T39" s="43">
        <f>SUM(T28:T32)+SUM(T35:T38)</f>
        <v>1.46</v>
      </c>
      <c r="U39" s="44">
        <f>SUM(U35:U38)+SUM(U28:U32)</f>
        <v>28270.260000000002</v>
      </c>
      <c r="V39" s="42">
        <f>SUM(V35:V38)+SUM(V28:V32)</f>
        <v>8103.6</v>
      </c>
      <c r="W39" s="42">
        <f>SUM(W35:W38)+SUM(W28:W32)</f>
        <v>42446.7</v>
      </c>
      <c r="X39" s="42">
        <f>SUM(X35:X38)+SUM(X28:X32)</f>
        <v>2279.8000000000002</v>
      </c>
      <c r="Y39" s="144">
        <f>SUM(V39:X39)</f>
        <v>52830.1</v>
      </c>
      <c r="Z39" s="43">
        <f>SUM(Z28:Z32)+SUM(Z35:Z38)</f>
        <v>210</v>
      </c>
      <c r="AA39" s="44">
        <f>SUM(AA35:AA38)+SUM(AA28:AA32)</f>
        <v>53040.1</v>
      </c>
      <c r="AB39" s="150">
        <f>(AA39/O39)</f>
        <v>1.0692253573653241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151.19999999999982</v>
      </c>
      <c r="E40" s="109">
        <f>E24-E39</f>
        <v>0</v>
      </c>
      <c r="F40" s="109">
        <f>F24-F39</f>
        <v>0</v>
      </c>
      <c r="G40" s="118">
        <f>G24-G39</f>
        <v>151.19999999999709</v>
      </c>
      <c r="H40" s="118">
        <f>H24-H39</f>
        <v>142.6</v>
      </c>
      <c r="I40" s="119">
        <f>I24-I39</f>
        <v>293.80000000001019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0</v>
      </c>
      <c r="O40" s="614">
        <f>O24-O39</f>
        <v>0</v>
      </c>
      <c r="P40" s="109">
        <f>P24-P39</f>
        <v>214.52999999999975</v>
      </c>
      <c r="Q40" s="109">
        <f>Q24-Q39</f>
        <v>0</v>
      </c>
      <c r="R40" s="109">
        <f>R24-R39</f>
        <v>0</v>
      </c>
      <c r="S40" s="118">
        <f>S24-S39</f>
        <v>214.52999999999884</v>
      </c>
      <c r="T40" s="118">
        <f>T24-T39</f>
        <v>127.34000000000002</v>
      </c>
      <c r="U40" s="119">
        <f>U24-U39</f>
        <v>341.87000000000262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151" t="e">
        <f>(AA40/O40)</f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-5622.5999999999894</v>
      </c>
      <c r="J41" s="112"/>
      <c r="K41" s="113"/>
      <c r="L41" s="113"/>
      <c r="M41" s="114"/>
      <c r="N41" s="117"/>
      <c r="O41" s="116">
        <f>O40-J16</f>
        <v>-6141.3</v>
      </c>
      <c r="P41" s="112"/>
      <c r="Q41" s="113"/>
      <c r="R41" s="113"/>
      <c r="S41" s="114"/>
      <c r="T41" s="117"/>
      <c r="U41" s="116">
        <f>U40-P16</f>
        <v>-2628.8299999999972</v>
      </c>
      <c r="V41" s="112"/>
      <c r="W41" s="113"/>
      <c r="X41" s="113"/>
      <c r="Y41" s="114"/>
      <c r="Z41" s="117"/>
      <c r="AA41" s="116">
        <f>AA40-V16</f>
        <v>-6141.3</v>
      </c>
      <c r="AB41" s="145">
        <f>(AA41/O41)</f>
        <v>1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0"/>
      <c r="D44" s="94">
        <v>585</v>
      </c>
      <c r="E44" s="104">
        <v>585</v>
      </c>
      <c r="F44" s="105">
        <v>0</v>
      </c>
      <c r="G44" s="49"/>
      <c r="H44" s="49"/>
      <c r="I44" s="50"/>
      <c r="J44" s="94">
        <v>585</v>
      </c>
      <c r="K44" s="104">
        <v>585</v>
      </c>
      <c r="L44" s="105">
        <v>0</v>
      </c>
      <c r="M44" s="93"/>
      <c r="N44" s="93"/>
      <c r="O44" s="93"/>
      <c r="P44" s="94">
        <v>292.5</v>
      </c>
      <c r="Q44" s="104">
        <v>292.5</v>
      </c>
      <c r="R44" s="105">
        <v>0</v>
      </c>
      <c r="S44" s="4"/>
      <c r="T44" s="4"/>
      <c r="U44" s="4"/>
      <c r="V44" s="94">
        <v>585</v>
      </c>
      <c r="W44" s="104">
        <v>585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262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4623.5</v>
      </c>
      <c r="E50" s="85">
        <f>SUM(E51:E54)</f>
        <v>7780.0000000000009</v>
      </c>
      <c r="F50" s="85">
        <f>SUM(F51:F54)</f>
        <v>4018.8</v>
      </c>
      <c r="G50" s="52">
        <f>D50+E50-F50</f>
        <v>8384.7000000000007</v>
      </c>
      <c r="H50" s="49"/>
      <c r="I50" s="4"/>
      <c r="J50" s="85">
        <f>SUM(J51:J54)</f>
        <v>8384.7000000000007</v>
      </c>
      <c r="K50" s="85">
        <f>SUM(K51:K54)</f>
        <v>5899.9400000000005</v>
      </c>
      <c r="L50" s="85">
        <f>SUM(L51:L54)</f>
        <v>6792.06</v>
      </c>
      <c r="M50" s="52">
        <f>J50+K50-L50</f>
        <v>7492.5800000000008</v>
      </c>
      <c r="N50" s="4"/>
      <c r="O50" s="4"/>
      <c r="P50" s="52">
        <f>SUM(P51:P54)</f>
        <v>8384.7000000000007</v>
      </c>
      <c r="Q50" s="85">
        <f>SUM(Q51:Q54)</f>
        <v>860.9</v>
      </c>
      <c r="R50" s="85">
        <f>SUM(R51:R54)</f>
        <v>469.9</v>
      </c>
      <c r="S50" s="52">
        <f>P50+Q50-R50</f>
        <v>8775.7000000000007</v>
      </c>
      <c r="T50" s="4"/>
      <c r="U50" s="4"/>
      <c r="V50" s="85">
        <f>SUM(V51:V54)</f>
        <v>7492.5800000000008</v>
      </c>
      <c r="W50" s="85">
        <f>SUM(W51:W54)</f>
        <v>1360.8</v>
      </c>
      <c r="X50" s="85">
        <f>SUM(X51:X54)</f>
        <v>7029.2</v>
      </c>
      <c r="Y50" s="52">
        <f>V50+W50-X50</f>
        <v>1824.1800000000012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261</v>
      </c>
      <c r="D51" s="85">
        <v>3447.2</v>
      </c>
      <c r="E51" s="85">
        <v>6339.3</v>
      </c>
      <c r="F51" s="85">
        <v>2549.1999999999998</v>
      </c>
      <c r="G51" s="52">
        <f>D51+E51-F51</f>
        <v>7237.3</v>
      </c>
      <c r="H51" s="49"/>
      <c r="I51" s="4"/>
      <c r="J51" s="52">
        <f>G51+H51-I51</f>
        <v>7237.3</v>
      </c>
      <c r="K51" s="85">
        <v>4844.1000000000004</v>
      </c>
      <c r="L51" s="85">
        <v>5771.8</v>
      </c>
      <c r="M51" s="52">
        <f>J51+K51-L51</f>
        <v>6309.6000000000013</v>
      </c>
      <c r="N51" s="4"/>
      <c r="O51" s="4"/>
      <c r="P51" s="52">
        <v>7237.3</v>
      </c>
      <c r="Q51" s="85">
        <v>291.3</v>
      </c>
      <c r="R51" s="85">
        <v>56.3</v>
      </c>
      <c r="S51" s="52">
        <f>P51+Q51-R51</f>
        <v>7472.3</v>
      </c>
      <c r="T51" s="4"/>
      <c r="U51" s="4"/>
      <c r="V51" s="52">
        <v>6309.6000000000013</v>
      </c>
      <c r="W51" s="85">
        <v>280</v>
      </c>
      <c r="X51" s="85">
        <v>5814.2</v>
      </c>
      <c r="Y51" s="52">
        <f>V51+W51-X51</f>
        <v>775.40000000000146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574.1</v>
      </c>
      <c r="E52" s="85">
        <v>775.6</v>
      </c>
      <c r="F52" s="85">
        <v>681.8</v>
      </c>
      <c r="G52" s="52">
        <f>D52+E52-F52</f>
        <v>667.90000000000009</v>
      </c>
      <c r="H52" s="49"/>
      <c r="I52" s="4"/>
      <c r="J52" s="52">
        <f>G52+H52-I52</f>
        <v>667.90000000000009</v>
      </c>
      <c r="K52" s="85">
        <v>643.79999999999995</v>
      </c>
      <c r="L52" s="85">
        <v>585</v>
      </c>
      <c r="M52" s="52">
        <f>J52+K52-L52</f>
        <v>726.7</v>
      </c>
      <c r="N52" s="4"/>
      <c r="O52" s="4"/>
      <c r="P52" s="52">
        <v>667.90000000000009</v>
      </c>
      <c r="Q52" s="85">
        <v>354.2</v>
      </c>
      <c r="R52" s="85">
        <v>292.5</v>
      </c>
      <c r="S52" s="52">
        <f>P52+Q52-R52</f>
        <v>729.60000000000014</v>
      </c>
      <c r="T52" s="4"/>
      <c r="U52" s="4"/>
      <c r="V52" s="52">
        <v>726.7</v>
      </c>
      <c r="W52" s="85">
        <v>683.3</v>
      </c>
      <c r="X52" s="85">
        <v>785</v>
      </c>
      <c r="Y52" s="52">
        <f>V52+W52-X52</f>
        <v>625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253.9</v>
      </c>
      <c r="E53" s="85">
        <v>30.3</v>
      </c>
      <c r="F53" s="85">
        <v>136.1</v>
      </c>
      <c r="G53" s="52">
        <f>D53+E53-F53</f>
        <v>148.1</v>
      </c>
      <c r="H53" s="49"/>
      <c r="I53" s="4"/>
      <c r="J53" s="52">
        <f>G53+H53-I53</f>
        <v>148.1</v>
      </c>
      <c r="K53" s="85">
        <v>58.8</v>
      </c>
      <c r="L53" s="85">
        <v>50</v>
      </c>
      <c r="M53" s="52">
        <f>J53+K53-L53</f>
        <v>156.89999999999998</v>
      </c>
      <c r="N53" s="4"/>
      <c r="O53" s="4"/>
      <c r="P53" s="52">
        <v>148.1</v>
      </c>
      <c r="Q53" s="85">
        <v>58.8</v>
      </c>
      <c r="R53" s="85">
        <v>0</v>
      </c>
      <c r="S53" s="52">
        <f>P53+Q53-R53</f>
        <v>206.89999999999998</v>
      </c>
      <c r="T53" s="4"/>
      <c r="U53" s="4"/>
      <c r="V53" s="52">
        <v>156.9</v>
      </c>
      <c r="W53" s="85">
        <v>35.5</v>
      </c>
      <c r="X53" s="85">
        <v>50</v>
      </c>
      <c r="Y53" s="52">
        <f>V53+W53-X53</f>
        <v>142.4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348.3</v>
      </c>
      <c r="E54" s="85">
        <v>634.79999999999995</v>
      </c>
      <c r="F54" s="85">
        <v>651.70000000000005</v>
      </c>
      <c r="G54" s="52">
        <f>D54+E54-F54</f>
        <v>331.39999999999986</v>
      </c>
      <c r="H54" s="49"/>
      <c r="I54" s="4"/>
      <c r="J54" s="52">
        <f>G54+H54-I54</f>
        <v>331.39999999999986</v>
      </c>
      <c r="K54" s="85">
        <v>353.24</v>
      </c>
      <c r="L54" s="85">
        <v>385.26</v>
      </c>
      <c r="M54" s="52">
        <f>J54+K54-L54</f>
        <v>299.37999999999988</v>
      </c>
      <c r="N54" s="4"/>
      <c r="O54" s="4"/>
      <c r="P54" s="52">
        <v>331.39999999999986</v>
      </c>
      <c r="Q54" s="85">
        <v>156.6</v>
      </c>
      <c r="R54" s="85">
        <v>121.1</v>
      </c>
      <c r="S54" s="52">
        <f>P54+Q54-R54</f>
        <v>366.89999999999986</v>
      </c>
      <c r="T54" s="4"/>
      <c r="U54" s="4"/>
      <c r="V54" s="52">
        <v>299.37999999999988</v>
      </c>
      <c r="W54" s="85">
        <v>362</v>
      </c>
      <c r="X54" s="85">
        <v>380</v>
      </c>
      <c r="Y54" s="52">
        <f>V54+W54-X54</f>
        <v>281.37999999999988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62.3</v>
      </c>
      <c r="E57" s="86">
        <v>65.599999999999994</v>
      </c>
      <c r="F57" s="49"/>
      <c r="G57" s="49"/>
      <c r="H57" s="49"/>
      <c r="I57" s="50"/>
      <c r="J57" s="86">
        <v>66.900000000000006</v>
      </c>
      <c r="K57" s="49"/>
      <c r="L57" s="49"/>
      <c r="M57" s="49"/>
      <c r="N57" s="49"/>
      <c r="O57" s="50"/>
      <c r="P57" s="86">
        <v>66.900000000000006</v>
      </c>
      <c r="Q57" s="50"/>
      <c r="R57" s="50"/>
      <c r="S57" s="50"/>
      <c r="T57" s="50"/>
      <c r="U57" s="50"/>
      <c r="V57" s="86">
        <v>66.900000000000006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912" t="s">
        <v>260</v>
      </c>
      <c r="C61" s="911"/>
      <c r="D61" s="911"/>
      <c r="E61" s="911"/>
      <c r="F61" s="911"/>
      <c r="G61" s="911"/>
      <c r="H61" s="911"/>
      <c r="I61" s="911"/>
      <c r="J61" s="911"/>
      <c r="K61" s="911"/>
      <c r="L61" s="911"/>
      <c r="M61" s="911"/>
      <c r="N61" s="911"/>
      <c r="O61" s="911"/>
      <c r="P61" s="911"/>
      <c r="Q61" s="911"/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0"/>
      <c r="AC61" s="4"/>
      <c r="AD61" s="4"/>
    </row>
    <row r="62" spans="1:30" x14ac:dyDescent="0.25">
      <c r="A62" s="5"/>
      <c r="B62" s="912" t="s">
        <v>259</v>
      </c>
      <c r="C62" s="911"/>
      <c r="D62" s="911"/>
      <c r="E62" s="911"/>
      <c r="F62" s="911"/>
      <c r="G62" s="911"/>
      <c r="H62" s="911"/>
      <c r="I62" s="911"/>
      <c r="J62" s="911"/>
      <c r="K62" s="911"/>
      <c r="L62" s="911"/>
      <c r="M62" s="911"/>
      <c r="N62" s="911"/>
      <c r="O62" s="911"/>
      <c r="P62" s="911"/>
      <c r="Q62" s="911"/>
      <c r="R62" s="911"/>
      <c r="S62" s="911"/>
      <c r="T62" s="911"/>
      <c r="U62" s="911"/>
      <c r="V62" s="911"/>
      <c r="W62" s="911"/>
      <c r="X62" s="911"/>
      <c r="Y62" s="911"/>
      <c r="Z62" s="911"/>
      <c r="AA62" s="911"/>
      <c r="AB62" s="910"/>
      <c r="AC62" s="4"/>
      <c r="AD62" s="4"/>
    </row>
    <row r="63" spans="1:30" x14ac:dyDescent="0.25">
      <c r="A63" s="5"/>
      <c r="B63" s="215" t="s">
        <v>258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8" t="s">
        <v>257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4"/>
      <c r="W87" s="154"/>
      <c r="X87" s="154"/>
      <c r="Y87" s="154"/>
      <c r="Z87" s="154"/>
      <c r="AA87" s="154"/>
      <c r="AB87" s="155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45516</v>
      </c>
      <c r="D91" s="53" t="s">
        <v>76</v>
      </c>
      <c r="E91" s="216" t="s">
        <v>256</v>
      </c>
      <c r="F91" s="216"/>
      <c r="G91" s="216"/>
      <c r="H91" s="53"/>
      <c r="I91" s="53" t="s">
        <v>77</v>
      </c>
      <c r="J91" s="223" t="s">
        <v>255</v>
      </c>
      <c r="K91" s="223"/>
      <c r="L91" s="223"/>
      <c r="M91" s="22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3">
    <mergeCell ref="Z13:Z14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S26:S27"/>
    <mergeCell ref="T26:T27"/>
    <mergeCell ref="U26:U27"/>
    <mergeCell ref="AB25:AB27"/>
    <mergeCell ref="V26:X26"/>
    <mergeCell ref="AA26:AA27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O26:O27"/>
    <mergeCell ref="G13:G14"/>
    <mergeCell ref="H13:H14"/>
    <mergeCell ref="S13:S14"/>
    <mergeCell ref="T13:T14"/>
    <mergeCell ref="U13:U14"/>
    <mergeCell ref="H26:H27"/>
    <mergeCell ref="I26:I27"/>
    <mergeCell ref="P25:U25"/>
    <mergeCell ref="P26:R26"/>
    <mergeCell ref="P10:U10"/>
    <mergeCell ref="P11:S11"/>
    <mergeCell ref="P12:U12"/>
    <mergeCell ref="P13:R13"/>
    <mergeCell ref="D59:U59"/>
    <mergeCell ref="O13:O14"/>
    <mergeCell ref="J25:O25"/>
    <mergeCell ref="J26:L26"/>
    <mergeCell ref="M26:M27"/>
    <mergeCell ref="N26:N27"/>
    <mergeCell ref="I13:I14"/>
    <mergeCell ref="D25:I25"/>
    <mergeCell ref="D26:F26"/>
    <mergeCell ref="G26:G27"/>
    <mergeCell ref="B10:B13"/>
    <mergeCell ref="B26:B27"/>
    <mergeCell ref="D10:I10"/>
    <mergeCell ref="D11:G11"/>
    <mergeCell ref="C10:C13"/>
    <mergeCell ref="D13:F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17" priority="3" operator="equal">
      <formula>0</formula>
    </cfRule>
    <cfRule type="containsErrors" dxfId="16" priority="4">
      <formula>ISERROR(AB15)</formula>
    </cfRule>
  </conditionalFormatting>
  <conditionalFormatting sqref="AB28:AB41">
    <cfRule type="cellIs" dxfId="15" priority="1" operator="equal">
      <formula>0</formula>
    </cfRule>
    <cfRule type="containsErrors" dxfId="14" priority="2">
      <formula>ISERROR(AB28)</formula>
    </cfRule>
  </conditionalFormatting>
  <pageMargins left="0" right="0" top="0.78740157480314965" bottom="0.78740157480314965" header="0.31496062992125984" footer="0.31496062992125984"/>
  <pageSetup paperSize="8" scale="4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278"/>
  <sheetViews>
    <sheetView showGridLines="0" zoomScale="80" zoomScaleNormal="80" zoomScaleSheetLayoutView="80" workbookViewId="0">
      <selection activeCell="H77" sqref="H7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2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6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467" t="s">
        <v>106</v>
      </c>
      <c r="C2" s="4"/>
      <c r="D2" s="4"/>
      <c r="E2" s="4"/>
      <c r="F2" s="4"/>
      <c r="G2" s="4"/>
      <c r="H2" s="4"/>
      <c r="I2" s="4"/>
      <c r="J2" s="4"/>
      <c r="K2" s="4"/>
      <c r="L2" s="4"/>
      <c r="M2" s="46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466" t="s">
        <v>274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1">
        <v>46789731</v>
      </c>
      <c r="E6" s="4"/>
      <c r="F6" s="4"/>
      <c r="G6" s="4"/>
      <c r="H6" s="4"/>
      <c r="I6" s="4"/>
      <c r="J6" s="4"/>
      <c r="K6" s="4"/>
      <c r="L6" s="4"/>
      <c r="M6" s="46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465"/>
      <c r="E7" s="4"/>
      <c r="F7" s="4"/>
      <c r="G7" s="4"/>
      <c r="H7" s="4"/>
      <c r="I7" s="4"/>
      <c r="J7" s="4"/>
      <c r="K7" s="4"/>
      <c r="L7" s="4"/>
      <c r="M7" s="46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7" t="s">
        <v>273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6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463" t="s">
        <v>37</v>
      </c>
      <c r="C10" s="365" t="s">
        <v>38</v>
      </c>
      <c r="D10" s="462" t="s">
        <v>107</v>
      </c>
      <c r="E10" s="461"/>
      <c r="F10" s="461"/>
      <c r="G10" s="461"/>
      <c r="H10" s="461"/>
      <c r="I10" s="460"/>
      <c r="J10" s="462" t="s">
        <v>108</v>
      </c>
      <c r="K10" s="461"/>
      <c r="L10" s="461"/>
      <c r="M10" s="461"/>
      <c r="N10" s="461"/>
      <c r="O10" s="460"/>
      <c r="P10" s="462" t="s">
        <v>109</v>
      </c>
      <c r="Q10" s="461"/>
      <c r="R10" s="461"/>
      <c r="S10" s="461"/>
      <c r="T10" s="461"/>
      <c r="U10" s="460"/>
      <c r="V10" s="462" t="s">
        <v>110</v>
      </c>
      <c r="W10" s="461"/>
      <c r="X10" s="461"/>
      <c r="Y10" s="461"/>
      <c r="Z10" s="461"/>
      <c r="AA10" s="460"/>
      <c r="AB10" s="459" t="s">
        <v>176</v>
      </c>
      <c r="AC10" s="4"/>
      <c r="AD10" s="4"/>
    </row>
    <row r="11" spans="1:30" ht="30.75" customHeight="1" thickBot="1" x14ac:dyDescent="0.3">
      <c r="A11" s="4"/>
      <c r="B11" s="454"/>
      <c r="C11" s="352"/>
      <c r="D11" s="458" t="s">
        <v>39</v>
      </c>
      <c r="E11" s="457"/>
      <c r="F11" s="457"/>
      <c r="G11" s="456"/>
      <c r="H11" s="455" t="s">
        <v>40</v>
      </c>
      <c r="I11" s="455" t="s">
        <v>61</v>
      </c>
      <c r="J11" s="458" t="s">
        <v>39</v>
      </c>
      <c r="K11" s="457"/>
      <c r="L11" s="457"/>
      <c r="M11" s="456"/>
      <c r="N11" s="455" t="s">
        <v>40</v>
      </c>
      <c r="O11" s="455" t="s">
        <v>61</v>
      </c>
      <c r="P11" s="458" t="s">
        <v>39</v>
      </c>
      <c r="Q11" s="457"/>
      <c r="R11" s="457"/>
      <c r="S11" s="456"/>
      <c r="T11" s="455" t="s">
        <v>40</v>
      </c>
      <c r="U11" s="455" t="s">
        <v>61</v>
      </c>
      <c r="V11" s="458" t="s">
        <v>39</v>
      </c>
      <c r="W11" s="457"/>
      <c r="X11" s="457"/>
      <c r="Y11" s="456"/>
      <c r="Z11" s="455" t="s">
        <v>40</v>
      </c>
      <c r="AA11" s="455" t="s">
        <v>61</v>
      </c>
      <c r="AB11" s="443"/>
      <c r="AC11" s="4"/>
      <c r="AD11" s="4"/>
    </row>
    <row r="12" spans="1:30" ht="15.75" customHeight="1" thickBot="1" x14ac:dyDescent="0.3">
      <c r="A12" s="4"/>
      <c r="B12" s="454"/>
      <c r="C12" s="453"/>
      <c r="D12" s="452" t="s">
        <v>62</v>
      </c>
      <c r="E12" s="451"/>
      <c r="F12" s="451"/>
      <c r="G12" s="451"/>
      <c r="H12" s="451"/>
      <c r="I12" s="450"/>
      <c r="J12" s="452" t="s">
        <v>62</v>
      </c>
      <c r="K12" s="451"/>
      <c r="L12" s="451"/>
      <c r="M12" s="451"/>
      <c r="N12" s="451"/>
      <c r="O12" s="450"/>
      <c r="P12" s="452" t="s">
        <v>62</v>
      </c>
      <c r="Q12" s="451"/>
      <c r="R12" s="451"/>
      <c r="S12" s="451"/>
      <c r="T12" s="451"/>
      <c r="U12" s="450"/>
      <c r="V12" s="452" t="s">
        <v>62</v>
      </c>
      <c r="W12" s="451"/>
      <c r="X12" s="451"/>
      <c r="Y12" s="451"/>
      <c r="Z12" s="451"/>
      <c r="AA12" s="450"/>
      <c r="AB12" s="443"/>
      <c r="AC12" s="4"/>
      <c r="AD12" s="4"/>
    </row>
    <row r="13" spans="1:30" ht="15.75" customHeight="1" thickBot="1" x14ac:dyDescent="0.3">
      <c r="A13" s="4"/>
      <c r="B13" s="449"/>
      <c r="C13" s="448"/>
      <c r="D13" s="447" t="s">
        <v>57</v>
      </c>
      <c r="E13" s="446"/>
      <c r="F13" s="446"/>
      <c r="G13" s="357" t="s">
        <v>63</v>
      </c>
      <c r="H13" s="445" t="s">
        <v>66</v>
      </c>
      <c r="I13" s="444" t="s">
        <v>62</v>
      </c>
      <c r="J13" s="447" t="s">
        <v>57</v>
      </c>
      <c r="K13" s="446"/>
      <c r="L13" s="446"/>
      <c r="M13" s="357" t="s">
        <v>63</v>
      </c>
      <c r="N13" s="445" t="s">
        <v>66</v>
      </c>
      <c r="O13" s="444" t="s">
        <v>62</v>
      </c>
      <c r="P13" s="447" t="s">
        <v>57</v>
      </c>
      <c r="Q13" s="446"/>
      <c r="R13" s="446"/>
      <c r="S13" s="357" t="s">
        <v>63</v>
      </c>
      <c r="T13" s="445" t="s">
        <v>66</v>
      </c>
      <c r="U13" s="444" t="s">
        <v>62</v>
      </c>
      <c r="V13" s="447" t="s">
        <v>57</v>
      </c>
      <c r="W13" s="446"/>
      <c r="X13" s="446"/>
      <c r="Y13" s="357" t="s">
        <v>63</v>
      </c>
      <c r="Z13" s="445" t="s">
        <v>66</v>
      </c>
      <c r="AA13" s="444" t="s">
        <v>62</v>
      </c>
      <c r="AB13" s="443"/>
      <c r="AC13" s="4"/>
      <c r="AD13" s="4"/>
    </row>
    <row r="14" spans="1:30" ht="15.75" thickBot="1" x14ac:dyDescent="0.3">
      <c r="A14" s="4"/>
      <c r="B14" s="442"/>
      <c r="C14" s="441"/>
      <c r="D14" s="440" t="s">
        <v>58</v>
      </c>
      <c r="E14" s="439" t="s">
        <v>90</v>
      </c>
      <c r="F14" s="439" t="s">
        <v>59</v>
      </c>
      <c r="G14" s="342"/>
      <c r="H14" s="438"/>
      <c r="I14" s="437"/>
      <c r="J14" s="440" t="s">
        <v>58</v>
      </c>
      <c r="K14" s="439" t="s">
        <v>90</v>
      </c>
      <c r="L14" s="439" t="s">
        <v>59</v>
      </c>
      <c r="M14" s="342"/>
      <c r="N14" s="438"/>
      <c r="O14" s="437"/>
      <c r="P14" s="440" t="s">
        <v>58</v>
      </c>
      <c r="Q14" s="439" t="s">
        <v>90</v>
      </c>
      <c r="R14" s="439" t="s">
        <v>59</v>
      </c>
      <c r="S14" s="342"/>
      <c r="T14" s="438"/>
      <c r="U14" s="437"/>
      <c r="V14" s="440" t="s">
        <v>58</v>
      </c>
      <c r="W14" s="439" t="s">
        <v>90</v>
      </c>
      <c r="X14" s="439" t="s">
        <v>59</v>
      </c>
      <c r="Y14" s="342"/>
      <c r="Z14" s="438"/>
      <c r="AA14" s="437"/>
      <c r="AB14" s="436"/>
      <c r="AC14" s="4"/>
      <c r="AD14" s="4"/>
    </row>
    <row r="15" spans="1:30" x14ac:dyDescent="0.25">
      <c r="A15" s="4"/>
      <c r="B15" s="338" t="s">
        <v>0</v>
      </c>
      <c r="C15" s="337" t="s">
        <v>52</v>
      </c>
      <c r="D15" s="431"/>
      <c r="E15" s="430"/>
      <c r="F15" s="429">
        <v>1928.1369999999999</v>
      </c>
      <c r="G15" s="428">
        <f>SUM(D15:F15)</f>
        <v>1928.1369999999999</v>
      </c>
      <c r="H15" s="410"/>
      <c r="I15" s="320">
        <f>G15+H15</f>
        <v>1928.1369999999999</v>
      </c>
      <c r="J15" s="431"/>
      <c r="K15" s="430"/>
      <c r="L15" s="429">
        <v>2400</v>
      </c>
      <c r="M15" s="432">
        <f>SUM(J15:L15)</f>
        <v>2400</v>
      </c>
      <c r="N15" s="410">
        <v>0</v>
      </c>
      <c r="O15" s="321">
        <f>M15+N15</f>
        <v>2400</v>
      </c>
      <c r="P15" s="431"/>
      <c r="Q15" s="430"/>
      <c r="R15" s="429">
        <v>1120.078</v>
      </c>
      <c r="S15" s="428">
        <f>SUM(P15:R15)</f>
        <v>1120.078</v>
      </c>
      <c r="T15" s="410"/>
      <c r="U15" s="320">
        <f>S15+T15</f>
        <v>1120.078</v>
      </c>
      <c r="V15" s="431"/>
      <c r="W15" s="430"/>
      <c r="X15" s="429">
        <v>2700</v>
      </c>
      <c r="Y15" s="428">
        <f>SUM(V15:X15)</f>
        <v>2700</v>
      </c>
      <c r="Z15" s="410"/>
      <c r="AA15" s="320">
        <f>Y15+Z15</f>
        <v>2700</v>
      </c>
      <c r="AB15" s="620">
        <f>IFERROR(AA15/O15,0)</f>
        <v>1.125</v>
      </c>
      <c r="AC15" s="4"/>
      <c r="AD15" s="4"/>
    </row>
    <row r="16" spans="1:30" x14ac:dyDescent="0.25">
      <c r="A16" s="4"/>
      <c r="B16" s="326" t="s">
        <v>1</v>
      </c>
      <c r="C16" s="427" t="s">
        <v>60</v>
      </c>
      <c r="D16" s="424">
        <v>6620</v>
      </c>
      <c r="E16" s="403"/>
      <c r="F16" s="403"/>
      <c r="G16" s="401">
        <f>SUM(D16:F16)</f>
        <v>6620</v>
      </c>
      <c r="H16" s="423"/>
      <c r="I16" s="320">
        <f>G16+H16</f>
        <v>6620</v>
      </c>
      <c r="J16" s="424">
        <v>7780</v>
      </c>
      <c r="K16" s="403"/>
      <c r="L16" s="403"/>
      <c r="M16" s="406">
        <f>SUM(J16:L16)</f>
        <v>7780</v>
      </c>
      <c r="N16" s="423"/>
      <c r="O16" s="321">
        <f>M16+N16</f>
        <v>7780</v>
      </c>
      <c r="P16" s="424">
        <v>3548.7</v>
      </c>
      <c r="Q16" s="403"/>
      <c r="R16" s="403"/>
      <c r="S16" s="401">
        <f>SUM(P16:R16)</f>
        <v>3548.7</v>
      </c>
      <c r="T16" s="423"/>
      <c r="U16" s="320">
        <f>S16+T16</f>
        <v>3548.7</v>
      </c>
      <c r="V16" s="424">
        <v>8400</v>
      </c>
      <c r="W16" s="403"/>
      <c r="X16" s="403"/>
      <c r="Y16" s="401">
        <f>SUM(V16:X16)</f>
        <v>8400</v>
      </c>
      <c r="Z16" s="423"/>
      <c r="AA16" s="320">
        <f>Y16+Z16</f>
        <v>8400</v>
      </c>
      <c r="AB16" s="620">
        <f>IFERROR(AA16/O16,0)</f>
        <v>1.0796915167095116</v>
      </c>
      <c r="AC16" s="4"/>
      <c r="AD16" s="4"/>
    </row>
    <row r="17" spans="1:30" x14ac:dyDescent="0.25">
      <c r="A17" s="4"/>
      <c r="B17" s="326" t="s">
        <v>3</v>
      </c>
      <c r="C17" s="422" t="s">
        <v>78</v>
      </c>
      <c r="D17" s="58">
        <v>269.8</v>
      </c>
      <c r="E17" s="413"/>
      <c r="F17" s="413"/>
      <c r="G17" s="401">
        <f>SUM(D17:F17)</f>
        <v>269.8</v>
      </c>
      <c r="H17" s="419"/>
      <c r="I17" s="320">
        <f>G17+H17</f>
        <v>269.8</v>
      </c>
      <c r="J17" s="58">
        <v>244.6</v>
      </c>
      <c r="K17" s="413"/>
      <c r="L17" s="413"/>
      <c r="M17" s="406">
        <f>SUM(J17:L17)</f>
        <v>244.6</v>
      </c>
      <c r="N17" s="419"/>
      <c r="O17" s="321">
        <f>M17+N17</f>
        <v>244.6</v>
      </c>
      <c r="P17" s="58">
        <v>214.17</v>
      </c>
      <c r="Q17" s="413"/>
      <c r="R17" s="413"/>
      <c r="S17" s="401">
        <f>SUM(P17:R17)</f>
        <v>214.17</v>
      </c>
      <c r="T17" s="419"/>
      <c r="U17" s="320">
        <f>S17+T17</f>
        <v>214.17</v>
      </c>
      <c r="V17" s="58">
        <v>1578.6</v>
      </c>
      <c r="W17" s="413"/>
      <c r="X17" s="413"/>
      <c r="Y17" s="401">
        <f>SUM(V17:X17)</f>
        <v>1578.6</v>
      </c>
      <c r="Z17" s="419"/>
      <c r="AA17" s="320">
        <f>Y17+Z17</f>
        <v>1578.6</v>
      </c>
      <c r="AB17" s="620">
        <f>IFERROR(AA17/O17,0)</f>
        <v>6.4538021259198688</v>
      </c>
      <c r="AC17" s="4"/>
      <c r="AD17" s="4"/>
    </row>
    <row r="18" spans="1:30" x14ac:dyDescent="0.25">
      <c r="A18" s="4"/>
      <c r="B18" s="326" t="s">
        <v>5</v>
      </c>
      <c r="C18" s="418" t="s">
        <v>53</v>
      </c>
      <c r="D18" s="404"/>
      <c r="E18" s="60">
        <v>51015.309000000001</v>
      </c>
      <c r="F18" s="413"/>
      <c r="G18" s="401">
        <f>SUM(D18:F18)</f>
        <v>51015.309000000001</v>
      </c>
      <c r="H18" s="410"/>
      <c r="I18" s="320">
        <f>G18+H18</f>
        <v>51015.309000000001</v>
      </c>
      <c r="J18" s="404"/>
      <c r="K18" s="60">
        <v>52020</v>
      </c>
      <c r="L18" s="413"/>
      <c r="M18" s="406">
        <f>SUM(J18:L18)</f>
        <v>52020</v>
      </c>
      <c r="N18" s="410"/>
      <c r="O18" s="321">
        <f>M18+N18</f>
        <v>52020</v>
      </c>
      <c r="P18" s="404"/>
      <c r="Q18" s="60">
        <v>23216.338</v>
      </c>
      <c r="R18" s="413"/>
      <c r="S18" s="401">
        <f>SUM(P18:R18)</f>
        <v>23216.338</v>
      </c>
      <c r="T18" s="410"/>
      <c r="U18" s="320">
        <f>S18+T18</f>
        <v>23216.338</v>
      </c>
      <c r="V18" s="404"/>
      <c r="W18" s="60">
        <v>46927.116999999998</v>
      </c>
      <c r="X18" s="413"/>
      <c r="Y18" s="401">
        <f>SUM(V18:X18)</f>
        <v>46927.116999999998</v>
      </c>
      <c r="Z18" s="410"/>
      <c r="AA18" s="320">
        <f>Y18+Z18</f>
        <v>46927.116999999998</v>
      </c>
      <c r="AB18" s="620">
        <f>IFERROR(AA18/O18,0)</f>
        <v>0.90209759707804682</v>
      </c>
      <c r="AC18" s="4"/>
      <c r="AD18" s="4"/>
    </row>
    <row r="19" spans="1:30" x14ac:dyDescent="0.25">
      <c r="A19" s="4"/>
      <c r="B19" s="326" t="s">
        <v>7</v>
      </c>
      <c r="C19" s="330" t="s">
        <v>46</v>
      </c>
      <c r="D19" s="414"/>
      <c r="E19" s="413"/>
      <c r="F19" s="60">
        <v>1446.8689999999999</v>
      </c>
      <c r="G19" s="401">
        <f>SUM(D19:F19)</f>
        <v>1446.8689999999999</v>
      </c>
      <c r="H19" s="410"/>
      <c r="I19" s="320">
        <f>G19+H19</f>
        <v>1446.8689999999999</v>
      </c>
      <c r="J19" s="414"/>
      <c r="K19" s="413"/>
      <c r="L19" s="60">
        <v>1434.4490000000001</v>
      </c>
      <c r="M19" s="406">
        <f>SUM(J19:L19)</f>
        <v>1434.4490000000001</v>
      </c>
      <c r="N19" s="410"/>
      <c r="O19" s="321">
        <f>M19+N19</f>
        <v>1434.4490000000001</v>
      </c>
      <c r="P19" s="414"/>
      <c r="Q19" s="413"/>
      <c r="R19" s="60">
        <v>717.22699999999998</v>
      </c>
      <c r="S19" s="401">
        <f>SUM(P19:R19)</f>
        <v>717.22699999999998</v>
      </c>
      <c r="T19" s="410"/>
      <c r="U19" s="320">
        <f>S19+T19</f>
        <v>717.22699999999998</v>
      </c>
      <c r="V19" s="414"/>
      <c r="W19" s="413"/>
      <c r="X19" s="60">
        <v>656.72699999999998</v>
      </c>
      <c r="Y19" s="401">
        <f>SUM(V19:X19)</f>
        <v>656.72699999999998</v>
      </c>
      <c r="Z19" s="410"/>
      <c r="AA19" s="320">
        <f>Y19+Z19</f>
        <v>656.72699999999998</v>
      </c>
      <c r="AB19" s="620">
        <f>IFERROR(AA19/O19,0)</f>
        <v>0.45782526949372193</v>
      </c>
      <c r="AC19" s="4"/>
      <c r="AD19" s="4"/>
    </row>
    <row r="20" spans="1:30" x14ac:dyDescent="0.25">
      <c r="A20" s="4"/>
      <c r="B20" s="326" t="s">
        <v>9</v>
      </c>
      <c r="C20" s="412" t="s">
        <v>47</v>
      </c>
      <c r="D20" s="404"/>
      <c r="E20" s="403"/>
      <c r="F20" s="402">
        <v>94.641999999999996</v>
      </c>
      <c r="G20" s="401">
        <f>SUM(D20:F20)</f>
        <v>94.641999999999996</v>
      </c>
      <c r="H20" s="410"/>
      <c r="I20" s="320">
        <f>G20+H20</f>
        <v>94.641999999999996</v>
      </c>
      <c r="J20" s="404"/>
      <c r="K20" s="403"/>
      <c r="L20" s="402">
        <v>240</v>
      </c>
      <c r="M20" s="406">
        <f>SUM(J20:L20)</f>
        <v>240</v>
      </c>
      <c r="N20" s="410"/>
      <c r="O20" s="321">
        <f>M20+N20</f>
        <v>240</v>
      </c>
      <c r="P20" s="404"/>
      <c r="Q20" s="403"/>
      <c r="R20" s="402">
        <v>18.771999999999998</v>
      </c>
      <c r="S20" s="401">
        <f>SUM(P20:R20)</f>
        <v>18.771999999999998</v>
      </c>
      <c r="T20" s="410"/>
      <c r="U20" s="320">
        <f>S20+T20</f>
        <v>18.771999999999998</v>
      </c>
      <c r="V20" s="404"/>
      <c r="W20" s="403"/>
      <c r="X20" s="402">
        <v>50</v>
      </c>
      <c r="Y20" s="401">
        <f>SUM(V20:X20)</f>
        <v>50</v>
      </c>
      <c r="Z20" s="410"/>
      <c r="AA20" s="320">
        <f>Y20+Z20</f>
        <v>50</v>
      </c>
      <c r="AB20" s="620">
        <f>IFERROR(AA20/O20,0)</f>
        <v>0.20833333333333334</v>
      </c>
      <c r="AC20" s="4"/>
      <c r="AD20" s="4"/>
    </row>
    <row r="21" spans="1:30" x14ac:dyDescent="0.25">
      <c r="A21" s="4"/>
      <c r="B21" s="326" t="s">
        <v>11</v>
      </c>
      <c r="C21" s="325" t="s">
        <v>2</v>
      </c>
      <c r="D21" s="404"/>
      <c r="E21" s="403"/>
      <c r="F21" s="402">
        <v>575.74199999999996</v>
      </c>
      <c r="G21" s="401">
        <f>SUM(D21:F21)</f>
        <v>575.74199999999996</v>
      </c>
      <c r="H21" s="400">
        <v>487.34</v>
      </c>
      <c r="I21" s="320">
        <f>G21+H21</f>
        <v>1063.0819999999999</v>
      </c>
      <c r="J21" s="404"/>
      <c r="K21" s="403"/>
      <c r="L21" s="402">
        <v>131</v>
      </c>
      <c r="M21" s="406">
        <f>SUM(J21:L21)</f>
        <v>131</v>
      </c>
      <c r="N21" s="400">
        <v>200</v>
      </c>
      <c r="O21" s="321">
        <f>M21+N21</f>
        <v>331</v>
      </c>
      <c r="P21" s="404"/>
      <c r="Q21" s="403"/>
      <c r="R21" s="402">
        <v>195.04400000000001</v>
      </c>
      <c r="S21" s="401">
        <f>SUM(P21:R21)</f>
        <v>195.04400000000001</v>
      </c>
      <c r="T21" s="400">
        <v>249.40799999999999</v>
      </c>
      <c r="U21" s="320">
        <f>S21+T21</f>
        <v>444.452</v>
      </c>
      <c r="V21" s="404"/>
      <c r="W21" s="403"/>
      <c r="X21" s="402">
        <v>200</v>
      </c>
      <c r="Y21" s="401">
        <f>SUM(V21:X21)</f>
        <v>200</v>
      </c>
      <c r="Z21" s="400">
        <v>200</v>
      </c>
      <c r="AA21" s="320">
        <f>Y21+Z21</f>
        <v>400</v>
      </c>
      <c r="AB21" s="620">
        <f>IFERROR(AA21/O21,0)</f>
        <v>1.2084592145015105</v>
      </c>
      <c r="AC21" s="4"/>
      <c r="AD21" s="4"/>
    </row>
    <row r="22" spans="1:30" x14ac:dyDescent="0.25">
      <c r="A22" s="4"/>
      <c r="B22" s="326" t="s">
        <v>13</v>
      </c>
      <c r="C22" s="325" t="s">
        <v>4</v>
      </c>
      <c r="D22" s="404"/>
      <c r="E22" s="403"/>
      <c r="F22" s="402"/>
      <c r="G22" s="401">
        <f>SUM(D22:F22)</f>
        <v>0</v>
      </c>
      <c r="H22" s="400">
        <v>487.34</v>
      </c>
      <c r="I22" s="320">
        <f>G22+H22</f>
        <v>487.34</v>
      </c>
      <c r="J22" s="404"/>
      <c r="K22" s="403"/>
      <c r="L22" s="402"/>
      <c r="M22" s="406">
        <f>SUM(J22:L22)</f>
        <v>0</v>
      </c>
      <c r="N22" s="400">
        <v>200</v>
      </c>
      <c r="O22" s="321">
        <f>M22+N22</f>
        <v>200</v>
      </c>
      <c r="P22" s="404"/>
      <c r="Q22" s="403"/>
      <c r="R22" s="402"/>
      <c r="S22" s="401">
        <f>SUM(P22:R22)</f>
        <v>0</v>
      </c>
      <c r="T22" s="400">
        <v>249.40799999999999</v>
      </c>
      <c r="U22" s="320">
        <f>S22+T22</f>
        <v>249.40799999999999</v>
      </c>
      <c r="V22" s="404"/>
      <c r="W22" s="403"/>
      <c r="X22" s="402"/>
      <c r="Y22" s="401">
        <f>SUM(V22:X22)</f>
        <v>0</v>
      </c>
      <c r="Z22" s="400">
        <v>200</v>
      </c>
      <c r="AA22" s="320">
        <f>Y22+Z22</f>
        <v>200</v>
      </c>
      <c r="AB22" s="620">
        <f>IFERROR(AA22/O22,0)</f>
        <v>1</v>
      </c>
      <c r="AC22" s="4"/>
      <c r="AD22" s="4"/>
    </row>
    <row r="23" spans="1:30" ht="15.75" thickBot="1" x14ac:dyDescent="0.3">
      <c r="A23" s="4"/>
      <c r="B23" s="399" t="s">
        <v>15</v>
      </c>
      <c r="C23" s="398" t="s">
        <v>6</v>
      </c>
      <c r="D23" s="392"/>
      <c r="E23" s="391"/>
      <c r="F23" s="390"/>
      <c r="G23" s="401">
        <f>SUM(D23:F23)</f>
        <v>0</v>
      </c>
      <c r="H23" s="388"/>
      <c r="I23" s="309">
        <f>G23+H23</f>
        <v>0</v>
      </c>
      <c r="J23" s="392"/>
      <c r="K23" s="391"/>
      <c r="L23" s="390"/>
      <c r="M23" s="394">
        <f>SUM(J23:L23)</f>
        <v>0</v>
      </c>
      <c r="N23" s="388"/>
      <c r="O23" s="313">
        <f>M23+N23</f>
        <v>0</v>
      </c>
      <c r="P23" s="392"/>
      <c r="Q23" s="391"/>
      <c r="R23" s="390"/>
      <c r="S23" s="389">
        <f>SUM(P23:R23)</f>
        <v>0</v>
      </c>
      <c r="T23" s="388"/>
      <c r="U23" s="309">
        <f>S23+T23</f>
        <v>0</v>
      </c>
      <c r="V23" s="392"/>
      <c r="W23" s="391"/>
      <c r="X23" s="390"/>
      <c r="Y23" s="389">
        <f>SUM(V23:X23)</f>
        <v>0</v>
      </c>
      <c r="Z23" s="388"/>
      <c r="AA23" s="309">
        <f>Y23+Z23</f>
        <v>0</v>
      </c>
      <c r="AB23" s="618">
        <f>IFERROR(AA23/O23,0)</f>
        <v>0</v>
      </c>
      <c r="AC23" s="4"/>
      <c r="AD23" s="4"/>
    </row>
    <row r="24" spans="1:30" ht="15.75" thickBot="1" x14ac:dyDescent="0.3">
      <c r="A24" s="4"/>
      <c r="B24" s="307" t="s">
        <v>17</v>
      </c>
      <c r="C24" s="387" t="s">
        <v>8</v>
      </c>
      <c r="D24" s="382">
        <f>SUM(D15:D21)</f>
        <v>6889.8</v>
      </c>
      <c r="E24" s="381">
        <f>SUM(E15:E21)</f>
        <v>51015.309000000001</v>
      </c>
      <c r="F24" s="381">
        <f>SUM(F15:F21)</f>
        <v>4045.3899999999994</v>
      </c>
      <c r="G24" s="380">
        <f>SUM(D24:F24)</f>
        <v>61950.499000000003</v>
      </c>
      <c r="H24" s="379">
        <f>SUM(H15:H21)</f>
        <v>487.34</v>
      </c>
      <c r="I24" s="379">
        <f>SUM(I15:I21)</f>
        <v>62437.839</v>
      </c>
      <c r="J24" s="386">
        <f>SUM(J15:J21)</f>
        <v>8024.6</v>
      </c>
      <c r="K24" s="385">
        <f>SUM(K15:K21)</f>
        <v>52020</v>
      </c>
      <c r="L24" s="385">
        <f>SUM(L15:L21)</f>
        <v>4205.4490000000005</v>
      </c>
      <c r="M24" s="384">
        <f>SUM(J24:L24)</f>
        <v>64250.048999999999</v>
      </c>
      <c r="N24" s="383">
        <f>SUM(N15:N21)</f>
        <v>200</v>
      </c>
      <c r="O24" s="383">
        <f>SUM(O15:O21)</f>
        <v>64450.048999999999</v>
      </c>
      <c r="P24" s="382">
        <f>SUM(P15:P21)</f>
        <v>3762.87</v>
      </c>
      <c r="Q24" s="381">
        <f>SUM(Q15:Q21)</f>
        <v>23216.338</v>
      </c>
      <c r="R24" s="381">
        <f>SUM(R15:R21)</f>
        <v>2051.1209999999996</v>
      </c>
      <c r="S24" s="380">
        <f>SUM(P24:R24)</f>
        <v>29030.328999999998</v>
      </c>
      <c r="T24" s="379">
        <f>SUM(T15:T21)</f>
        <v>249.40799999999999</v>
      </c>
      <c r="U24" s="379">
        <f>SUM(U15:U21)</f>
        <v>29279.737000000001</v>
      </c>
      <c r="V24" s="382">
        <f>SUM(V15:V21)</f>
        <v>9978.6</v>
      </c>
      <c r="W24" s="381">
        <f>SUM(W15:W21)</f>
        <v>46927.116999999998</v>
      </c>
      <c r="X24" s="381">
        <f>SUM(X15:X21)</f>
        <v>3606.7269999999999</v>
      </c>
      <c r="Y24" s="380">
        <f>SUM(V24:X24)</f>
        <v>60512.443999999996</v>
      </c>
      <c r="Z24" s="379">
        <f>SUM(Z15:Z21)</f>
        <v>200</v>
      </c>
      <c r="AA24" s="379">
        <f>SUM(AA15:AA21)</f>
        <v>60712.443999999996</v>
      </c>
      <c r="AB24" s="643">
        <f>IFERROR(AA24/O24,0)</f>
        <v>0.94200772446270753</v>
      </c>
      <c r="AC24" s="4"/>
      <c r="AD24" s="4"/>
    </row>
    <row r="25" spans="1:30" ht="15.75" customHeight="1" thickBot="1" x14ac:dyDescent="0.3">
      <c r="A25" s="4"/>
      <c r="B25" s="377"/>
      <c r="C25" s="376"/>
      <c r="D25" s="371" t="s">
        <v>68</v>
      </c>
      <c r="E25" s="370"/>
      <c r="F25" s="370"/>
      <c r="G25" s="369"/>
      <c r="H25" s="369"/>
      <c r="I25" s="368"/>
      <c r="J25" s="375" t="s">
        <v>68</v>
      </c>
      <c r="K25" s="374"/>
      <c r="L25" s="374"/>
      <c r="M25" s="373"/>
      <c r="N25" s="373"/>
      <c r="O25" s="372"/>
      <c r="P25" s="371" t="s">
        <v>68</v>
      </c>
      <c r="Q25" s="370"/>
      <c r="R25" s="370"/>
      <c r="S25" s="369"/>
      <c r="T25" s="369"/>
      <c r="U25" s="368"/>
      <c r="V25" s="371" t="s">
        <v>68</v>
      </c>
      <c r="W25" s="370"/>
      <c r="X25" s="370"/>
      <c r="Y25" s="369"/>
      <c r="Z25" s="369"/>
      <c r="AA25" s="368"/>
      <c r="AB25" s="638" t="s">
        <v>176</v>
      </c>
      <c r="AC25" s="4"/>
      <c r="AD25" s="4"/>
    </row>
    <row r="26" spans="1:30" ht="15.75" thickBot="1" x14ac:dyDescent="0.3">
      <c r="A26" s="4"/>
      <c r="B26" s="366" t="s">
        <v>37</v>
      </c>
      <c r="C26" s="365" t="s">
        <v>38</v>
      </c>
      <c r="D26" s="359" t="s">
        <v>69</v>
      </c>
      <c r="E26" s="358"/>
      <c r="F26" s="358"/>
      <c r="G26" s="357" t="s">
        <v>64</v>
      </c>
      <c r="H26" s="356" t="s">
        <v>67</v>
      </c>
      <c r="I26" s="355" t="s">
        <v>68</v>
      </c>
      <c r="J26" s="364" t="s">
        <v>69</v>
      </c>
      <c r="K26" s="363"/>
      <c r="L26" s="363"/>
      <c r="M26" s="362" t="s">
        <v>64</v>
      </c>
      <c r="N26" s="361" t="s">
        <v>67</v>
      </c>
      <c r="O26" s="360" t="s">
        <v>68</v>
      </c>
      <c r="P26" s="359" t="s">
        <v>69</v>
      </c>
      <c r="Q26" s="358"/>
      <c r="R26" s="358"/>
      <c r="S26" s="357" t="s">
        <v>64</v>
      </c>
      <c r="T26" s="356" t="s">
        <v>67</v>
      </c>
      <c r="U26" s="355" t="s">
        <v>68</v>
      </c>
      <c r="V26" s="359" t="s">
        <v>69</v>
      </c>
      <c r="W26" s="358"/>
      <c r="X26" s="358"/>
      <c r="Y26" s="357" t="s">
        <v>64</v>
      </c>
      <c r="Z26" s="356" t="s">
        <v>67</v>
      </c>
      <c r="AA26" s="355" t="s">
        <v>68</v>
      </c>
      <c r="AB26" s="632"/>
      <c r="AC26" s="4"/>
      <c r="AD26" s="4"/>
    </row>
    <row r="27" spans="1:30" ht="15.75" thickBot="1" x14ac:dyDescent="0.3">
      <c r="A27" s="4"/>
      <c r="B27" s="353"/>
      <c r="C27" s="352"/>
      <c r="D27" s="345" t="s">
        <v>54</v>
      </c>
      <c r="E27" s="344" t="s">
        <v>55</v>
      </c>
      <c r="F27" s="343" t="s">
        <v>56</v>
      </c>
      <c r="G27" s="342"/>
      <c r="H27" s="341"/>
      <c r="I27" s="340"/>
      <c r="J27" s="351" t="s">
        <v>54</v>
      </c>
      <c r="K27" s="350" t="s">
        <v>55</v>
      </c>
      <c r="L27" s="349" t="s">
        <v>56</v>
      </c>
      <c r="M27" s="348"/>
      <c r="N27" s="347"/>
      <c r="O27" s="346"/>
      <c r="P27" s="345" t="s">
        <v>54</v>
      </c>
      <c r="Q27" s="344" t="s">
        <v>55</v>
      </c>
      <c r="R27" s="343" t="s">
        <v>56</v>
      </c>
      <c r="S27" s="342"/>
      <c r="T27" s="341"/>
      <c r="U27" s="340"/>
      <c r="V27" s="345" t="s">
        <v>54</v>
      </c>
      <c r="W27" s="344" t="s">
        <v>55</v>
      </c>
      <c r="X27" s="343" t="s">
        <v>56</v>
      </c>
      <c r="Y27" s="342"/>
      <c r="Z27" s="341"/>
      <c r="AA27" s="340"/>
      <c r="AB27" s="625"/>
      <c r="AC27" s="4"/>
      <c r="AD27" s="4"/>
    </row>
    <row r="28" spans="1:30" x14ac:dyDescent="0.25">
      <c r="A28" s="4"/>
      <c r="B28" s="338" t="s">
        <v>19</v>
      </c>
      <c r="C28" s="337" t="s">
        <v>10</v>
      </c>
      <c r="D28" s="333">
        <v>414.82600000000002</v>
      </c>
      <c r="E28" s="333"/>
      <c r="F28" s="333"/>
      <c r="G28" s="332">
        <f>SUM(D28:F28)</f>
        <v>414.82600000000002</v>
      </c>
      <c r="H28" s="332"/>
      <c r="I28" s="331">
        <f>G28+H28</f>
        <v>414.82600000000002</v>
      </c>
      <c r="J28" s="334">
        <v>130</v>
      </c>
      <c r="K28" s="333"/>
      <c r="L28" s="333"/>
      <c r="M28" s="336">
        <f>SUM(J28:L28)</f>
        <v>130</v>
      </c>
      <c r="N28" s="332"/>
      <c r="O28" s="335">
        <f>M28+N28</f>
        <v>130</v>
      </c>
      <c r="P28" s="334">
        <v>78.555000000000007</v>
      </c>
      <c r="Q28" s="333"/>
      <c r="R28" s="333"/>
      <c r="S28" s="332">
        <f>SUM(P28:R28)</f>
        <v>78.555000000000007</v>
      </c>
      <c r="T28" s="332"/>
      <c r="U28" s="331">
        <f>S28+T28</f>
        <v>78.555000000000007</v>
      </c>
      <c r="V28" s="334">
        <v>300</v>
      </c>
      <c r="W28" s="333"/>
      <c r="X28" s="333"/>
      <c r="Y28" s="332">
        <f>SUM(V28:X28)</f>
        <v>300</v>
      </c>
      <c r="Z28" s="332"/>
      <c r="AA28" s="331">
        <f>Y28+Z28</f>
        <v>300</v>
      </c>
      <c r="AB28" s="620">
        <f>IFERROR(AA28/O28,0)</f>
        <v>2.3076923076923075</v>
      </c>
      <c r="AC28" s="4"/>
      <c r="AD28" s="4"/>
    </row>
    <row r="29" spans="1:30" x14ac:dyDescent="0.25">
      <c r="A29" s="4"/>
      <c r="B29" s="326" t="s">
        <v>20</v>
      </c>
      <c r="C29" s="325" t="s">
        <v>12</v>
      </c>
      <c r="D29" s="323">
        <v>804.22699999999998</v>
      </c>
      <c r="E29" s="323">
        <v>314.23700000000002</v>
      </c>
      <c r="F29" s="323">
        <v>1859.2570000000001</v>
      </c>
      <c r="G29" s="315">
        <f>SUM(D29:F29)</f>
        <v>2977.721</v>
      </c>
      <c r="H29" s="315">
        <v>26.895</v>
      </c>
      <c r="I29" s="320">
        <f>G29+H29</f>
        <v>3004.616</v>
      </c>
      <c r="J29" s="324">
        <v>660.4</v>
      </c>
      <c r="K29" s="323">
        <v>390</v>
      </c>
      <c r="L29" s="323">
        <v>2528</v>
      </c>
      <c r="M29" s="322">
        <f>SUM(J29:L29)</f>
        <v>3578.4</v>
      </c>
      <c r="N29" s="315">
        <v>50</v>
      </c>
      <c r="O29" s="321">
        <f>M29+N29</f>
        <v>3628.4</v>
      </c>
      <c r="P29" s="324">
        <v>243.572</v>
      </c>
      <c r="Q29" s="323">
        <v>146.47499999999999</v>
      </c>
      <c r="R29" s="323">
        <v>1081.6489999999999</v>
      </c>
      <c r="S29" s="315">
        <f>SUM(P29:R29)</f>
        <v>1471.6959999999999</v>
      </c>
      <c r="T29" s="315"/>
      <c r="U29" s="320">
        <f>S29+T29</f>
        <v>1471.6959999999999</v>
      </c>
      <c r="V29" s="324">
        <v>768.82399999999996</v>
      </c>
      <c r="W29" s="323">
        <v>367.517</v>
      </c>
      <c r="X29" s="323">
        <v>2800</v>
      </c>
      <c r="Y29" s="315">
        <f>SUM(V29:X29)</f>
        <v>3936.3409999999999</v>
      </c>
      <c r="Z29" s="315">
        <v>50</v>
      </c>
      <c r="AA29" s="320">
        <f>Y29+Z29</f>
        <v>3986.3409999999999</v>
      </c>
      <c r="AB29" s="620">
        <f>IFERROR(AA29/O29,0)</f>
        <v>1.0986498181016426</v>
      </c>
      <c r="AC29" s="4"/>
      <c r="AD29" s="4"/>
    </row>
    <row r="30" spans="1:30" x14ac:dyDescent="0.25">
      <c r="A30" s="4"/>
      <c r="B30" s="326" t="s">
        <v>22</v>
      </c>
      <c r="C30" s="325" t="s">
        <v>14</v>
      </c>
      <c r="D30" s="323">
        <v>3858.431</v>
      </c>
      <c r="E30" s="323"/>
      <c r="F30" s="323"/>
      <c r="G30" s="315">
        <f>SUM(D30:F30)</f>
        <v>3858.431</v>
      </c>
      <c r="H30" s="315">
        <v>124.7</v>
      </c>
      <c r="I30" s="320">
        <f>G30+H30</f>
        <v>3983.1309999999999</v>
      </c>
      <c r="J30" s="324">
        <v>4990</v>
      </c>
      <c r="K30" s="323"/>
      <c r="L30" s="323">
        <v>210</v>
      </c>
      <c r="M30" s="322">
        <f>SUM(J30:L30)</f>
        <v>5200</v>
      </c>
      <c r="N30" s="315">
        <v>110</v>
      </c>
      <c r="O30" s="321">
        <f>M30+N30</f>
        <v>5310</v>
      </c>
      <c r="P30" s="324">
        <v>2785.86</v>
      </c>
      <c r="Q30" s="323"/>
      <c r="R30" s="323"/>
      <c r="S30" s="315">
        <f>SUM(P30:R30)</f>
        <v>2785.86</v>
      </c>
      <c r="T30" s="315"/>
      <c r="U30" s="320">
        <f>S30+T30</f>
        <v>2785.86</v>
      </c>
      <c r="V30" s="324">
        <v>5150</v>
      </c>
      <c r="W30" s="323"/>
      <c r="X30" s="323"/>
      <c r="Y30" s="315">
        <f>SUM(V30:X30)</f>
        <v>5150</v>
      </c>
      <c r="Z30" s="315">
        <v>100</v>
      </c>
      <c r="AA30" s="320">
        <f>Y30+Z30</f>
        <v>5250</v>
      </c>
      <c r="AB30" s="620">
        <f>IFERROR(AA30/O30,0)</f>
        <v>0.98870056497175141</v>
      </c>
      <c r="AC30" s="4"/>
      <c r="AD30" s="4"/>
    </row>
    <row r="31" spans="1:30" x14ac:dyDescent="0.25">
      <c r="A31" s="4"/>
      <c r="B31" s="326" t="s">
        <v>24</v>
      </c>
      <c r="C31" s="325" t="s">
        <v>16</v>
      </c>
      <c r="D31" s="323">
        <v>1107.585</v>
      </c>
      <c r="E31" s="323">
        <v>252.39400000000001</v>
      </c>
      <c r="F31" s="323">
        <v>3.8530000000000002</v>
      </c>
      <c r="G31" s="315">
        <f>SUM(D31:F31)</f>
        <v>1363.8320000000001</v>
      </c>
      <c r="H31" s="315">
        <v>8.8940000000000001</v>
      </c>
      <c r="I31" s="320">
        <f>G31+H31</f>
        <v>1372.7260000000001</v>
      </c>
      <c r="J31" s="324">
        <v>1171.085</v>
      </c>
      <c r="K31" s="323">
        <v>227</v>
      </c>
      <c r="L31" s="323">
        <v>8</v>
      </c>
      <c r="M31" s="322">
        <f>SUM(J31:L31)</f>
        <v>1406.085</v>
      </c>
      <c r="N31" s="315">
        <v>40</v>
      </c>
      <c r="O31" s="321">
        <f>M31+N31</f>
        <v>1446.085</v>
      </c>
      <c r="P31" s="324">
        <v>618.31899999999996</v>
      </c>
      <c r="Q31" s="323">
        <v>371.41</v>
      </c>
      <c r="R31" s="323">
        <v>5.5</v>
      </c>
      <c r="S31" s="315">
        <f>SUM(P31:R31)</f>
        <v>995.22900000000004</v>
      </c>
      <c r="T31" s="315"/>
      <c r="U31" s="320">
        <f>S31+T31</f>
        <v>995.22900000000004</v>
      </c>
      <c r="V31" s="324">
        <v>2118.1849999999999</v>
      </c>
      <c r="W31" s="323">
        <v>120</v>
      </c>
      <c r="X31" s="323"/>
      <c r="Y31" s="315">
        <f>SUM(V31:X31)</f>
        <v>2238.1849999999999</v>
      </c>
      <c r="Z31" s="315">
        <v>50</v>
      </c>
      <c r="AA31" s="320">
        <f>Y31+Z31</f>
        <v>2288.1849999999999</v>
      </c>
      <c r="AB31" s="620">
        <f>IFERROR(AA31/O31,0)</f>
        <v>1.5823309141578814</v>
      </c>
      <c r="AC31" s="4"/>
      <c r="AD31" s="4"/>
    </row>
    <row r="32" spans="1:30" x14ac:dyDescent="0.25">
      <c r="A32" s="4"/>
      <c r="B32" s="326" t="s">
        <v>26</v>
      </c>
      <c r="C32" s="325" t="s">
        <v>18</v>
      </c>
      <c r="D32" s="328">
        <v>168.53</v>
      </c>
      <c r="E32" s="323">
        <v>36370.021000000001</v>
      </c>
      <c r="F32" s="323"/>
      <c r="G32" s="315">
        <f>SUM(D32:F32)</f>
        <v>36538.550999999999</v>
      </c>
      <c r="H32" s="315"/>
      <c r="I32" s="320">
        <f>G32+H32</f>
        <v>36538.550999999999</v>
      </c>
      <c r="J32" s="918">
        <v>120.176</v>
      </c>
      <c r="K32" s="323">
        <v>37550</v>
      </c>
      <c r="L32" s="323"/>
      <c r="M32" s="322">
        <f>SUM(J32:L32)</f>
        <v>37670.175999999999</v>
      </c>
      <c r="N32" s="315"/>
      <c r="O32" s="321">
        <f>M32+N32</f>
        <v>37670.175999999999</v>
      </c>
      <c r="P32" s="918">
        <v>121.068</v>
      </c>
      <c r="Q32" s="323">
        <v>16738.879000000001</v>
      </c>
      <c r="R32" s="323"/>
      <c r="S32" s="315">
        <f>SUM(P32:R32)</f>
        <v>16859.947</v>
      </c>
      <c r="T32" s="315"/>
      <c r="U32" s="320">
        <f>S32+T32</f>
        <v>16859.947</v>
      </c>
      <c r="V32" s="327">
        <v>124.851</v>
      </c>
      <c r="W32" s="323">
        <v>34240</v>
      </c>
      <c r="X32" s="323"/>
      <c r="Y32" s="315">
        <f>SUM(V32:X32)</f>
        <v>34364.851000000002</v>
      </c>
      <c r="Z32" s="315"/>
      <c r="AA32" s="320">
        <f>Y32+Z32</f>
        <v>34364.851000000002</v>
      </c>
      <c r="AB32" s="620">
        <f>IFERROR(AA32/O32,0)</f>
        <v>0.91225618377785134</v>
      </c>
      <c r="AC32" s="4"/>
      <c r="AD32" s="4"/>
    </row>
    <row r="33" spans="1:30" x14ac:dyDescent="0.25">
      <c r="A33" s="4"/>
      <c r="B33" s="326" t="s">
        <v>28</v>
      </c>
      <c r="C33" s="330" t="s">
        <v>42</v>
      </c>
      <c r="D33" s="328">
        <v>168.53</v>
      </c>
      <c r="E33" s="323">
        <v>35508.048000000003</v>
      </c>
      <c r="F33" s="323"/>
      <c r="G33" s="315">
        <f>SUM(D33:F33)</f>
        <v>35676.578000000001</v>
      </c>
      <c r="H33" s="315"/>
      <c r="I33" s="320">
        <f>G33+H33</f>
        <v>35676.578000000001</v>
      </c>
      <c r="J33" s="918">
        <v>120.176</v>
      </c>
      <c r="K33" s="323">
        <v>37100</v>
      </c>
      <c r="L33" s="323"/>
      <c r="M33" s="322">
        <f>SUM(J33:L33)</f>
        <v>37220.175999999999</v>
      </c>
      <c r="N33" s="315"/>
      <c r="O33" s="321">
        <f>M33+N33</f>
        <v>37220.175999999999</v>
      </c>
      <c r="P33" s="918">
        <v>121.068</v>
      </c>
      <c r="Q33" s="323">
        <v>16532.079000000002</v>
      </c>
      <c r="R33" s="323"/>
      <c r="S33" s="315">
        <f>SUM(P33:R33)</f>
        <v>16653.147000000001</v>
      </c>
      <c r="T33" s="315"/>
      <c r="U33" s="320">
        <f>S33+T33</f>
        <v>16653.147000000001</v>
      </c>
      <c r="V33" s="327">
        <v>124.851</v>
      </c>
      <c r="W33" s="323">
        <v>34000</v>
      </c>
      <c r="X33" s="323"/>
      <c r="Y33" s="315">
        <f>SUM(V33:X33)</f>
        <v>34124.851000000002</v>
      </c>
      <c r="Z33" s="315"/>
      <c r="AA33" s="320">
        <f>Y33+Z33</f>
        <v>34124.851000000002</v>
      </c>
      <c r="AB33" s="620">
        <f>IFERROR(AA33/O33,0)</f>
        <v>0.91683744321896821</v>
      </c>
      <c r="AC33" s="4"/>
      <c r="AD33" s="4"/>
    </row>
    <row r="34" spans="1:30" x14ac:dyDescent="0.25">
      <c r="A34" s="4"/>
      <c r="B34" s="326" t="s">
        <v>30</v>
      </c>
      <c r="C34" s="329" t="s">
        <v>21</v>
      </c>
      <c r="D34" s="328">
        <v>0</v>
      </c>
      <c r="E34" s="323">
        <v>861.97299999999996</v>
      </c>
      <c r="F34" s="323"/>
      <c r="G34" s="315">
        <f>SUM(D34:F34)</f>
        <v>861.97299999999996</v>
      </c>
      <c r="H34" s="315"/>
      <c r="I34" s="320">
        <f>G34+H34</f>
        <v>861.97299999999996</v>
      </c>
      <c r="J34" s="327" t="s">
        <v>87</v>
      </c>
      <c r="K34" s="323">
        <v>450</v>
      </c>
      <c r="L34" s="323"/>
      <c r="M34" s="322">
        <f>SUM(J34:L34)</f>
        <v>450</v>
      </c>
      <c r="N34" s="315"/>
      <c r="O34" s="321">
        <f>M34+N34</f>
        <v>450</v>
      </c>
      <c r="P34" s="327"/>
      <c r="Q34" s="323">
        <v>206.8</v>
      </c>
      <c r="R34" s="323"/>
      <c r="S34" s="315">
        <f>SUM(P34:R34)</f>
        <v>206.8</v>
      </c>
      <c r="T34" s="315"/>
      <c r="U34" s="320">
        <f>S34+T34</f>
        <v>206.8</v>
      </c>
      <c r="V34" s="327"/>
      <c r="W34" s="323">
        <v>240</v>
      </c>
      <c r="X34" s="323"/>
      <c r="Y34" s="315">
        <f>SUM(V34:X34)</f>
        <v>240</v>
      </c>
      <c r="Z34" s="315"/>
      <c r="AA34" s="320">
        <f>Y34+Z34</f>
        <v>240</v>
      </c>
      <c r="AB34" s="620">
        <f>IFERROR(AA34/O34,0)</f>
        <v>0.53333333333333333</v>
      </c>
      <c r="AC34" s="4"/>
      <c r="AD34" s="4"/>
    </row>
    <row r="35" spans="1:30" x14ac:dyDescent="0.25">
      <c r="A35" s="4"/>
      <c r="B35" s="326" t="s">
        <v>32</v>
      </c>
      <c r="C35" s="325" t="s">
        <v>23</v>
      </c>
      <c r="D35" s="328">
        <v>82.483999999999995</v>
      </c>
      <c r="E35" s="323">
        <v>12150.212</v>
      </c>
      <c r="F35" s="323"/>
      <c r="G35" s="315">
        <f>SUM(D35:F35)</f>
        <v>12232.696</v>
      </c>
      <c r="H35" s="315"/>
      <c r="I35" s="320">
        <f>G35+H35</f>
        <v>12232.696</v>
      </c>
      <c r="J35" s="918">
        <v>40.619999999999997</v>
      </c>
      <c r="K35" s="323">
        <v>12705.5</v>
      </c>
      <c r="L35" s="323"/>
      <c r="M35" s="322">
        <f>SUM(J35:L35)</f>
        <v>12746.12</v>
      </c>
      <c r="N35" s="315"/>
      <c r="O35" s="321">
        <f>M35+N35</f>
        <v>12746.12</v>
      </c>
      <c r="P35" s="918">
        <v>55.116999999999997</v>
      </c>
      <c r="Q35" s="323">
        <v>5609.06</v>
      </c>
      <c r="R35" s="323"/>
      <c r="S35" s="315">
        <f>SUM(P35:R35)</f>
        <v>5664.1770000000006</v>
      </c>
      <c r="T35" s="315"/>
      <c r="U35" s="320">
        <f>S35+T35</f>
        <v>5664.1770000000006</v>
      </c>
      <c r="V35" s="327">
        <v>42.2</v>
      </c>
      <c r="W35" s="323">
        <v>11630.6</v>
      </c>
      <c r="X35" s="323"/>
      <c r="Y35" s="315">
        <f>SUM(V35:X35)</f>
        <v>11672.800000000001</v>
      </c>
      <c r="Z35" s="315"/>
      <c r="AA35" s="320">
        <f>Y35+Z35</f>
        <v>11672.800000000001</v>
      </c>
      <c r="AB35" s="620">
        <f>IFERROR(AA35/O35,0)</f>
        <v>0.9157924136913822</v>
      </c>
      <c r="AC35" s="4"/>
      <c r="AD35" s="4"/>
    </row>
    <row r="36" spans="1:30" x14ac:dyDescent="0.25">
      <c r="A36" s="4"/>
      <c r="B36" s="326" t="s">
        <v>33</v>
      </c>
      <c r="C36" s="325" t="s">
        <v>25</v>
      </c>
      <c r="D36" s="323">
        <v>0</v>
      </c>
      <c r="E36" s="323"/>
      <c r="F36" s="323"/>
      <c r="G36" s="315">
        <f>SUM(D36:F36)</f>
        <v>0</v>
      </c>
      <c r="H36" s="315"/>
      <c r="I36" s="320">
        <f>G36+H36</f>
        <v>0</v>
      </c>
      <c r="J36" s="324"/>
      <c r="K36" s="323"/>
      <c r="L36" s="323"/>
      <c r="M36" s="322">
        <f>SUM(J36:L36)</f>
        <v>0</v>
      </c>
      <c r="N36" s="315"/>
      <c r="O36" s="321">
        <f>M36+N36</f>
        <v>0</v>
      </c>
      <c r="P36" s="324"/>
      <c r="Q36" s="323"/>
      <c r="R36" s="323"/>
      <c r="S36" s="315">
        <f>SUM(P36:R36)</f>
        <v>0</v>
      </c>
      <c r="T36" s="315"/>
      <c r="U36" s="320">
        <f>S36+T36</f>
        <v>0</v>
      </c>
      <c r="V36" s="324"/>
      <c r="W36" s="323"/>
      <c r="X36" s="323"/>
      <c r="Y36" s="315">
        <f>SUM(V36:X36)</f>
        <v>0</v>
      </c>
      <c r="Z36" s="315"/>
      <c r="AA36" s="320">
        <f>Y36+Z36</f>
        <v>0</v>
      </c>
      <c r="AB36" s="620">
        <f>IFERROR(AA36/O36,0)</f>
        <v>0</v>
      </c>
      <c r="AC36" s="4"/>
      <c r="AD36" s="4"/>
    </row>
    <row r="37" spans="1:30" x14ac:dyDescent="0.25">
      <c r="A37" s="4"/>
      <c r="B37" s="326" t="s">
        <v>34</v>
      </c>
      <c r="C37" s="325" t="s">
        <v>27</v>
      </c>
      <c r="D37" s="323">
        <v>504.53300000000002</v>
      </c>
      <c r="E37" s="323"/>
      <c r="F37" s="323">
        <v>1446.8689999999999</v>
      </c>
      <c r="G37" s="315">
        <f>SUM(D37:F37)</f>
        <v>1951.402</v>
      </c>
      <c r="H37" s="315"/>
      <c r="I37" s="320">
        <f>G37+H37</f>
        <v>1951.402</v>
      </c>
      <c r="J37" s="324">
        <v>675.91499999999996</v>
      </c>
      <c r="K37" s="323"/>
      <c r="L37" s="323">
        <v>1434.4490000000001</v>
      </c>
      <c r="M37" s="322">
        <f>SUM(J37:L37)</f>
        <v>2110.364</v>
      </c>
      <c r="N37" s="315"/>
      <c r="O37" s="321">
        <f>M37+N37</f>
        <v>2110.364</v>
      </c>
      <c r="P37" s="324">
        <v>338.11399999999998</v>
      </c>
      <c r="Q37" s="323"/>
      <c r="R37" s="323">
        <v>717.22699999999998</v>
      </c>
      <c r="S37" s="315">
        <f>SUM(P37:R37)</f>
        <v>1055.3409999999999</v>
      </c>
      <c r="T37" s="315"/>
      <c r="U37" s="320">
        <f>S37+T37</f>
        <v>1055.3409999999999</v>
      </c>
      <c r="V37" s="324">
        <v>602.09100000000001</v>
      </c>
      <c r="W37" s="323"/>
      <c r="X37" s="323">
        <v>656.72699999999998</v>
      </c>
      <c r="Y37" s="315">
        <f>SUM(V37:X37)</f>
        <v>1258.818</v>
      </c>
      <c r="Z37" s="315"/>
      <c r="AA37" s="320">
        <f>Y37+Z37</f>
        <v>1258.818</v>
      </c>
      <c r="AB37" s="620">
        <f>IFERROR(AA37/O37,0)</f>
        <v>0.59649330636800091</v>
      </c>
      <c r="AC37" s="4"/>
      <c r="AD37" s="4"/>
    </row>
    <row r="38" spans="1:30" ht="15.75" thickBot="1" x14ac:dyDescent="0.3">
      <c r="A38" s="4"/>
      <c r="B38" s="317" t="s">
        <v>35</v>
      </c>
      <c r="C38" s="316" t="s">
        <v>29</v>
      </c>
      <c r="D38" s="311">
        <v>492.97399999999999</v>
      </c>
      <c r="E38" s="311">
        <v>1928.444</v>
      </c>
      <c r="F38" s="311">
        <v>83.316999999999993</v>
      </c>
      <c r="G38" s="315">
        <f>SUM(D38:F38)</f>
        <v>2504.7350000000001</v>
      </c>
      <c r="H38" s="310"/>
      <c r="I38" s="309">
        <f>G38+H38</f>
        <v>2504.7350000000001</v>
      </c>
      <c r="J38" s="312">
        <v>236.404</v>
      </c>
      <c r="K38" s="311">
        <v>1147.5</v>
      </c>
      <c r="L38" s="311">
        <v>25</v>
      </c>
      <c r="M38" s="314">
        <f>SUM(J38:L38)</f>
        <v>1408.904</v>
      </c>
      <c r="N38" s="310"/>
      <c r="O38" s="313">
        <f>M38+N38</f>
        <v>1408.904</v>
      </c>
      <c r="P38" s="312">
        <v>144.29</v>
      </c>
      <c r="Q38" s="311">
        <v>350.51400000000001</v>
      </c>
      <c r="R38" s="311">
        <v>39.369</v>
      </c>
      <c r="S38" s="310">
        <f>SUM(P38:R38)</f>
        <v>534.173</v>
      </c>
      <c r="T38" s="310"/>
      <c r="U38" s="309">
        <f>S38+T38</f>
        <v>534.173</v>
      </c>
      <c r="V38" s="312">
        <v>872.44899999999996</v>
      </c>
      <c r="W38" s="311">
        <v>569</v>
      </c>
      <c r="X38" s="311">
        <v>150</v>
      </c>
      <c r="Y38" s="310">
        <f>SUM(V38:X38)</f>
        <v>1591.4490000000001</v>
      </c>
      <c r="Z38" s="310"/>
      <c r="AA38" s="309">
        <f>Y38+Z38</f>
        <v>1591.4490000000001</v>
      </c>
      <c r="AB38" s="618">
        <f>IFERROR(AA38/O38,0)</f>
        <v>1.1295652507197085</v>
      </c>
      <c r="AC38" s="4"/>
      <c r="AD38" s="4"/>
    </row>
    <row r="39" spans="1:30" ht="15.75" thickBot="1" x14ac:dyDescent="0.3">
      <c r="A39" s="4"/>
      <c r="B39" s="307" t="s">
        <v>48</v>
      </c>
      <c r="C39" s="306" t="s">
        <v>31</v>
      </c>
      <c r="D39" s="301">
        <f>SUM(D35:D38)+SUM(D28:D32)</f>
        <v>7433.59</v>
      </c>
      <c r="E39" s="301">
        <f>SUM(E35:E38)+SUM(E28:E32)</f>
        <v>51015.308000000005</v>
      </c>
      <c r="F39" s="301">
        <f>SUM(F35:F38)+SUM(F28:F32)</f>
        <v>3393.2960000000003</v>
      </c>
      <c r="G39" s="300">
        <f>SUM(D39:F39)</f>
        <v>61842.194000000003</v>
      </c>
      <c r="H39" s="299">
        <f>SUM(H28:H32)+SUM(H35:H38)</f>
        <v>160.489</v>
      </c>
      <c r="I39" s="298">
        <f>SUM(I35:I38)+SUM(I28:I32)</f>
        <v>62002.682999999997</v>
      </c>
      <c r="J39" s="305">
        <f>SUM(J35:J38)+SUM(J28:J32)</f>
        <v>8024.6</v>
      </c>
      <c r="K39" s="305">
        <f>SUM(K35:K38)+SUM(K28:K32)</f>
        <v>52020</v>
      </c>
      <c r="L39" s="305">
        <f>SUM(L35:L38)+SUM(L28:L32)</f>
        <v>4205.4490000000005</v>
      </c>
      <c r="M39" s="304">
        <f>SUM(J39:L39)</f>
        <v>64250.048999999999</v>
      </c>
      <c r="N39" s="303">
        <f>SUM(N28:N32)+SUM(N35:N38)</f>
        <v>200</v>
      </c>
      <c r="O39" s="302">
        <f>SUM(O35:O38)+SUM(O28:O32)</f>
        <v>64450.048999999999</v>
      </c>
      <c r="P39" s="301">
        <f>SUM(P35:P38)+SUM(P28:P32)</f>
        <v>4384.8950000000004</v>
      </c>
      <c r="Q39" s="301">
        <f>SUM(Q35:Q38)+SUM(Q28:Q32)</f>
        <v>23216.338</v>
      </c>
      <c r="R39" s="301">
        <f>SUM(R35:R38)+SUM(R28:R32)</f>
        <v>1843.7449999999999</v>
      </c>
      <c r="S39" s="300">
        <f>SUM(P39:R39)</f>
        <v>29444.977999999999</v>
      </c>
      <c r="T39" s="299">
        <f>SUM(T28:T32)+SUM(T35:T38)</f>
        <v>0</v>
      </c>
      <c r="U39" s="298">
        <f>SUM(U35:U38)+SUM(U28:U32)</f>
        <v>29444.977999999999</v>
      </c>
      <c r="V39" s="301">
        <f>SUM(V35:V38)+SUM(V28:V32)</f>
        <v>9978.6</v>
      </c>
      <c r="W39" s="301">
        <f>SUM(W35:W38)+SUM(W28:W32)</f>
        <v>46927.116999999998</v>
      </c>
      <c r="X39" s="301">
        <f>SUM(X35:X38)+SUM(X28:X32)</f>
        <v>3606.7269999999999</v>
      </c>
      <c r="Y39" s="300">
        <f>SUM(V39:X39)</f>
        <v>60512.443999999996</v>
      </c>
      <c r="Z39" s="299">
        <f>SUM(Z28:Z32)+SUM(Z35:Z38)</f>
        <v>200</v>
      </c>
      <c r="AA39" s="298">
        <f>SUM(AA35:AA38)+SUM(AA28:AA32)</f>
        <v>60712.444000000003</v>
      </c>
      <c r="AB39" s="616">
        <f>IFERROR(AA39/O39,0)</f>
        <v>0.94200772446270764</v>
      </c>
      <c r="AC39" s="4"/>
      <c r="AD39" s="4"/>
    </row>
    <row r="40" spans="1:30" ht="19.5" thickBot="1" x14ac:dyDescent="0.35">
      <c r="A40" s="4"/>
      <c r="B40" s="296" t="s">
        <v>49</v>
      </c>
      <c r="C40" s="295" t="s">
        <v>51</v>
      </c>
      <c r="D40" s="292">
        <f>D24-D39</f>
        <v>-543.79</v>
      </c>
      <c r="E40" s="292">
        <f>E24-E39</f>
        <v>9.9999999656574801E-4</v>
      </c>
      <c r="F40" s="292">
        <f>F24-F39</f>
        <v>652.09399999999914</v>
      </c>
      <c r="G40" s="291">
        <f>G24-G39</f>
        <v>108.30500000000029</v>
      </c>
      <c r="H40" s="291">
        <f>H24-H39</f>
        <v>326.851</v>
      </c>
      <c r="I40" s="290">
        <f>I24-I39</f>
        <v>435.15600000000268</v>
      </c>
      <c r="J40" s="292">
        <f>J24-J39</f>
        <v>0</v>
      </c>
      <c r="K40" s="292">
        <f>K24-K39</f>
        <v>0</v>
      </c>
      <c r="L40" s="292">
        <f>L24-L39</f>
        <v>0</v>
      </c>
      <c r="M40" s="294">
        <f>M24-M39</f>
        <v>0</v>
      </c>
      <c r="N40" s="294">
        <f>N24-N39</f>
        <v>0</v>
      </c>
      <c r="O40" s="293">
        <f>O24-O39</f>
        <v>0</v>
      </c>
      <c r="P40" s="292">
        <f>P24-P39</f>
        <v>-622.02500000000055</v>
      </c>
      <c r="Q40" s="292">
        <f>Q24-Q39</f>
        <v>0</v>
      </c>
      <c r="R40" s="292">
        <f>R24-R39</f>
        <v>207.37599999999975</v>
      </c>
      <c r="S40" s="291">
        <f>S24-S39</f>
        <v>-414.64900000000125</v>
      </c>
      <c r="T40" s="291">
        <f>T24-T39</f>
        <v>249.40799999999999</v>
      </c>
      <c r="U40" s="290">
        <f>U24-U39</f>
        <v>-165.24099999999817</v>
      </c>
      <c r="V40" s="292">
        <f>V24-V39</f>
        <v>0</v>
      </c>
      <c r="W40" s="292">
        <f>W24-W39</f>
        <v>0</v>
      </c>
      <c r="X40" s="292">
        <f>X24-X39</f>
        <v>0</v>
      </c>
      <c r="Y40" s="291">
        <f>Y24-Y39</f>
        <v>0</v>
      </c>
      <c r="Z40" s="291">
        <f>Z24-Z39</f>
        <v>0</v>
      </c>
      <c r="AA40" s="290">
        <f>AA24-AA39</f>
        <v>0</v>
      </c>
      <c r="AB40" s="613">
        <f>IFERROR(AA40/O40,0)</f>
        <v>0</v>
      </c>
      <c r="AC40" s="4"/>
      <c r="AD40" s="4"/>
    </row>
    <row r="41" spans="1:30" ht="15.75" thickBot="1" x14ac:dyDescent="0.3">
      <c r="A41" s="4"/>
      <c r="B41" s="288" t="s">
        <v>50</v>
      </c>
      <c r="C41" s="287" t="s">
        <v>65</v>
      </c>
      <c r="D41" s="285"/>
      <c r="E41" s="284"/>
      <c r="F41" s="284"/>
      <c r="G41" s="283"/>
      <c r="H41" s="286"/>
      <c r="I41" s="281">
        <f>I40-D16</f>
        <v>-6184.8439999999973</v>
      </c>
      <c r="J41" s="285"/>
      <c r="K41" s="284"/>
      <c r="L41" s="284"/>
      <c r="M41" s="283"/>
      <c r="N41" s="282"/>
      <c r="O41" s="281">
        <f>O40-J16</f>
        <v>-7780</v>
      </c>
      <c r="P41" s="285"/>
      <c r="Q41" s="284"/>
      <c r="R41" s="284"/>
      <c r="S41" s="283"/>
      <c r="T41" s="282"/>
      <c r="U41" s="281">
        <f>U40-P16</f>
        <v>-3713.940999999998</v>
      </c>
      <c r="V41" s="285"/>
      <c r="W41" s="284"/>
      <c r="X41" s="284"/>
      <c r="Y41" s="283"/>
      <c r="Z41" s="282"/>
      <c r="AA41" s="281">
        <f>AA40-V16</f>
        <v>-8400</v>
      </c>
      <c r="AB41" s="612">
        <f>IFERROR(AA41/O41,0)</f>
        <v>1.0796915167095116</v>
      </c>
      <c r="AC41" s="4"/>
      <c r="AD41" s="4"/>
    </row>
    <row r="42" spans="1:30" ht="8.4499999999999993" customHeight="1" thickBot="1" x14ac:dyDescent="0.3">
      <c r="A42" s="4"/>
      <c r="B42" s="272"/>
      <c r="C42" s="164"/>
      <c r="D42" s="279"/>
      <c r="E42" s="256"/>
      <c r="F42" s="256"/>
      <c r="G42" s="4"/>
      <c r="H42" s="256"/>
      <c r="I42" s="256"/>
      <c r="J42" s="279"/>
      <c r="K42" s="256"/>
      <c r="L42" s="256"/>
      <c r="M42" s="4"/>
      <c r="N42" s="256"/>
      <c r="O42" s="256"/>
      <c r="P42" s="256"/>
      <c r="Q42" s="256"/>
      <c r="R42" s="256"/>
      <c r="S42" s="256"/>
      <c r="T42" s="256"/>
      <c r="U42" s="256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272"/>
      <c r="C43" s="271" t="s">
        <v>82</v>
      </c>
      <c r="D43" s="106" t="s">
        <v>41</v>
      </c>
      <c r="E43" s="278" t="s">
        <v>83</v>
      </c>
      <c r="F43" s="277" t="s">
        <v>36</v>
      </c>
      <c r="G43" s="256"/>
      <c r="H43" s="256"/>
      <c r="I43" s="255"/>
      <c r="J43" s="106" t="s">
        <v>41</v>
      </c>
      <c r="K43" s="278" t="s">
        <v>83</v>
      </c>
      <c r="L43" s="277" t="s">
        <v>36</v>
      </c>
      <c r="M43" s="256"/>
      <c r="N43" s="256"/>
      <c r="O43" s="256"/>
      <c r="P43" s="106" t="s">
        <v>41</v>
      </c>
      <c r="Q43" s="278" t="s">
        <v>83</v>
      </c>
      <c r="R43" s="277" t="s">
        <v>36</v>
      </c>
      <c r="S43" s="4"/>
      <c r="T43" s="4"/>
      <c r="U43" s="4"/>
      <c r="V43" s="106" t="s">
        <v>41</v>
      </c>
      <c r="W43" s="278" t="s">
        <v>83</v>
      </c>
      <c r="X43" s="277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272"/>
      <c r="C44" s="276"/>
      <c r="D44" s="266">
        <v>234.21600000000001</v>
      </c>
      <c r="E44" s="275">
        <v>234.21600000000001</v>
      </c>
      <c r="F44" s="274">
        <v>0</v>
      </c>
      <c r="G44" s="256"/>
      <c r="H44" s="256"/>
      <c r="I44" s="255"/>
      <c r="J44" s="266">
        <v>390.49400000000003</v>
      </c>
      <c r="K44" s="275">
        <v>390.49400000000003</v>
      </c>
      <c r="L44" s="274">
        <v>0</v>
      </c>
      <c r="M44" s="273"/>
      <c r="N44" s="273"/>
      <c r="O44" s="273"/>
      <c r="P44" s="266">
        <v>695.24599999999998</v>
      </c>
      <c r="Q44" s="275">
        <v>695.24599999999998</v>
      </c>
      <c r="R44" s="274">
        <v>0</v>
      </c>
      <c r="S44" s="4"/>
      <c r="T44" s="4"/>
      <c r="U44" s="4"/>
      <c r="V44" s="266">
        <v>390.49099999999999</v>
      </c>
      <c r="W44" s="275">
        <v>390.49099999999999</v>
      </c>
      <c r="X44" s="274">
        <v>0</v>
      </c>
      <c r="Y44" s="4"/>
      <c r="Z44" s="4"/>
      <c r="AA44" s="4"/>
      <c r="AB44" s="4"/>
      <c r="AC44" s="4"/>
      <c r="AD44" s="4"/>
    </row>
    <row r="45" spans="1:30" ht="8.4499999999999993" customHeight="1" thickBot="1" x14ac:dyDescent="0.3">
      <c r="A45" s="4"/>
      <c r="B45" s="272"/>
      <c r="C45" s="164"/>
      <c r="D45" s="273"/>
      <c r="E45" s="256"/>
      <c r="F45" s="256"/>
      <c r="G45" s="256"/>
      <c r="H45" s="256"/>
      <c r="I45" s="255"/>
      <c r="J45" s="256"/>
      <c r="K45" s="256"/>
      <c r="L45" s="256"/>
      <c r="M45" s="256"/>
      <c r="N45" s="256"/>
      <c r="O45" s="255"/>
      <c r="P45" s="255"/>
      <c r="Q45" s="255"/>
      <c r="R45" s="255"/>
      <c r="S45" s="255"/>
      <c r="T45" s="255"/>
      <c r="U45" s="255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272"/>
      <c r="C46" s="271" t="s">
        <v>85</v>
      </c>
      <c r="D46" s="95" t="s">
        <v>86</v>
      </c>
      <c r="E46" s="269" t="s">
        <v>84</v>
      </c>
      <c r="F46" s="256"/>
      <c r="G46" s="256"/>
      <c r="H46" s="256"/>
      <c r="I46" s="255"/>
      <c r="J46" s="95" t="s">
        <v>86</v>
      </c>
      <c r="K46" s="269" t="s">
        <v>84</v>
      </c>
      <c r="L46" s="270"/>
      <c r="M46" s="270"/>
      <c r="N46" s="4"/>
      <c r="O46" s="4"/>
      <c r="P46" s="95" t="s">
        <v>86</v>
      </c>
      <c r="Q46" s="269" t="s">
        <v>84</v>
      </c>
      <c r="R46" s="4"/>
      <c r="S46" s="4"/>
      <c r="T46" s="4"/>
      <c r="U46" s="4"/>
      <c r="V46" s="95" t="s">
        <v>86</v>
      </c>
      <c r="W46" s="269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257"/>
      <c r="C47" s="268"/>
      <c r="D47" s="266">
        <v>0</v>
      </c>
      <c r="E47" s="265">
        <v>0</v>
      </c>
      <c r="F47" s="256"/>
      <c r="G47" s="256"/>
      <c r="H47" s="256"/>
      <c r="I47" s="255"/>
      <c r="J47" s="266">
        <v>0</v>
      </c>
      <c r="K47" s="265">
        <v>0</v>
      </c>
      <c r="L47" s="267"/>
      <c r="M47" s="267"/>
      <c r="N47" s="4"/>
      <c r="O47" s="4"/>
      <c r="P47" s="266">
        <v>0</v>
      </c>
      <c r="Q47" s="265">
        <v>0</v>
      </c>
      <c r="R47" s="4"/>
      <c r="S47" s="4"/>
      <c r="T47" s="4"/>
      <c r="U47" s="4"/>
      <c r="V47" s="266">
        <v>0</v>
      </c>
      <c r="W47" s="265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257"/>
      <c r="C48" s="164"/>
      <c r="D48" s="256"/>
      <c r="E48" s="256"/>
      <c r="F48" s="256"/>
      <c r="G48" s="256"/>
      <c r="H48" s="256"/>
      <c r="I48" s="255"/>
      <c r="J48" s="256"/>
      <c r="K48" s="256"/>
      <c r="L48" s="256"/>
      <c r="M48" s="256"/>
      <c r="N48" s="256"/>
      <c r="O48" s="255"/>
      <c r="P48" s="255"/>
      <c r="Q48" s="255"/>
      <c r="R48" s="255"/>
      <c r="S48" s="255"/>
      <c r="T48" s="255"/>
      <c r="U48" s="255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257"/>
      <c r="C49" s="261" t="s">
        <v>81</v>
      </c>
      <c r="D49" s="260" t="s">
        <v>72</v>
      </c>
      <c r="E49" s="260" t="s">
        <v>73</v>
      </c>
      <c r="F49" s="260" t="s">
        <v>91</v>
      </c>
      <c r="G49" s="260" t="s">
        <v>93</v>
      </c>
      <c r="H49" s="256"/>
      <c r="I49" s="4"/>
      <c r="J49" s="260" t="s">
        <v>72</v>
      </c>
      <c r="K49" s="260" t="s">
        <v>73</v>
      </c>
      <c r="L49" s="260" t="s">
        <v>91</v>
      </c>
      <c r="M49" s="260" t="s">
        <v>94</v>
      </c>
      <c r="N49" s="4"/>
      <c r="O49" s="4"/>
      <c r="P49" s="260" t="s">
        <v>72</v>
      </c>
      <c r="Q49" s="260" t="s">
        <v>73</v>
      </c>
      <c r="R49" s="260" t="s">
        <v>91</v>
      </c>
      <c r="S49" s="260" t="s">
        <v>98</v>
      </c>
      <c r="T49" s="4"/>
      <c r="U49" s="4"/>
      <c r="V49" s="260" t="s">
        <v>95</v>
      </c>
      <c r="W49" s="260" t="s">
        <v>73</v>
      </c>
      <c r="X49" s="260" t="s">
        <v>91</v>
      </c>
      <c r="Y49" s="260" t="s">
        <v>94</v>
      </c>
      <c r="Z49" s="4"/>
      <c r="AA49" s="4"/>
      <c r="AB49" s="4"/>
      <c r="AC49" s="4"/>
      <c r="AD49" s="4"/>
    </row>
    <row r="50" spans="1:30" x14ac:dyDescent="0.25">
      <c r="A50" s="4"/>
      <c r="B50" s="257"/>
      <c r="C50" s="259" t="s">
        <v>117</v>
      </c>
      <c r="D50" s="263">
        <f>D51+D54+D55+D56</f>
        <v>1990.356</v>
      </c>
      <c r="E50" s="263">
        <f>E51+E54+E55+E56</f>
        <v>4093.7280000000001</v>
      </c>
      <c r="F50" s="263">
        <f>F51+F54+F55+F56</f>
        <v>1579.335</v>
      </c>
      <c r="G50" s="262">
        <f>D50+E50-F50</f>
        <v>4504.7489999999998</v>
      </c>
      <c r="H50" s="256"/>
      <c r="I50" s="4"/>
      <c r="J50" s="262">
        <f>J51+J54+J55+J56</f>
        <v>1311.1719999999998</v>
      </c>
      <c r="K50" s="262">
        <f>K51+K54+K55+K56</f>
        <v>1302</v>
      </c>
      <c r="L50" s="262">
        <f>L51+L54+L55+L56</f>
        <v>1720</v>
      </c>
      <c r="M50" s="262">
        <f>J50+K50-L50</f>
        <v>893.17199999999957</v>
      </c>
      <c r="N50" s="4"/>
      <c r="O50" s="4"/>
      <c r="P50" s="262">
        <f>P51+P54+P55+P56</f>
        <v>4504.7</v>
      </c>
      <c r="Q50" s="262">
        <f>Q51+Q54+Q55+Q56</f>
        <v>939.79899999999998</v>
      </c>
      <c r="R50" s="262">
        <f>R51+R54+R55+R56</f>
        <v>2828.6879999999996</v>
      </c>
      <c r="S50" s="262">
        <f>P50+Q50-R50</f>
        <v>2615.8110000000001</v>
      </c>
      <c r="T50" s="4"/>
      <c r="U50" s="4"/>
      <c r="V50" s="263">
        <f>V51+V54+V55+V56</f>
        <v>1081.912</v>
      </c>
      <c r="W50" s="263">
        <f>W51+W54+W55+W56</f>
        <v>1266</v>
      </c>
      <c r="X50" s="263">
        <f>X51+X54+X55+X56</f>
        <v>1280.5</v>
      </c>
      <c r="Y50" s="263">
        <f>Y51+Y54+Y55+Y56</f>
        <v>1067.412</v>
      </c>
      <c r="Z50" s="4"/>
      <c r="AA50" s="4"/>
      <c r="AB50" s="4"/>
      <c r="AC50" s="4"/>
      <c r="AD50" s="4"/>
    </row>
    <row r="51" spans="1:30" x14ac:dyDescent="0.25">
      <c r="A51" s="4"/>
      <c r="B51" s="257"/>
      <c r="C51" s="259" t="s">
        <v>70</v>
      </c>
      <c r="D51" s="263">
        <v>669.83299999999997</v>
      </c>
      <c r="E51" s="263">
        <v>2846.4250000000002</v>
      </c>
      <c r="F51" s="263">
        <v>313.09100000000001</v>
      </c>
      <c r="G51" s="262">
        <f>D51+E51-F51</f>
        <v>3203.1670000000004</v>
      </c>
      <c r="H51" s="256"/>
      <c r="I51" s="4"/>
      <c r="J51" s="262">
        <v>268.53699999999998</v>
      </c>
      <c r="K51" s="263">
        <v>30</v>
      </c>
      <c r="L51" s="263">
        <v>50</v>
      </c>
      <c r="M51" s="262">
        <f>J51+K51-L51</f>
        <v>248.53699999999998</v>
      </c>
      <c r="N51" s="691"/>
      <c r="O51" s="4"/>
      <c r="P51" s="262">
        <v>3203.2</v>
      </c>
      <c r="Q51" s="263">
        <v>375.154</v>
      </c>
      <c r="R51" s="263">
        <v>1817.6769999999999</v>
      </c>
      <c r="S51" s="262">
        <f>P51+Q51-R51</f>
        <v>1760.6769999999999</v>
      </c>
      <c r="T51" s="4"/>
      <c r="U51" s="4"/>
      <c r="V51" s="263">
        <v>628.4</v>
      </c>
      <c r="W51" s="263">
        <v>250</v>
      </c>
      <c r="X51" s="263">
        <v>250</v>
      </c>
      <c r="Y51" s="262">
        <f>V51+W51-X51</f>
        <v>628.4</v>
      </c>
      <c r="Z51" s="4"/>
      <c r="AA51" s="4"/>
      <c r="AB51" s="4"/>
      <c r="AC51" s="4"/>
      <c r="AD51" s="4"/>
    </row>
    <row r="52" spans="1:30" x14ac:dyDescent="0.25">
      <c r="A52" s="4"/>
      <c r="B52" s="257"/>
      <c r="C52" s="917" t="s">
        <v>272</v>
      </c>
      <c r="D52" s="916">
        <v>296.02</v>
      </c>
      <c r="E52" s="916">
        <v>814.79100000000005</v>
      </c>
      <c r="F52" s="916">
        <v>296.02</v>
      </c>
      <c r="G52" s="915">
        <v>814.79100000000005</v>
      </c>
      <c r="H52" s="256"/>
      <c r="I52" s="4"/>
      <c r="J52" s="915">
        <v>814.8</v>
      </c>
      <c r="K52" s="916">
        <v>0</v>
      </c>
      <c r="L52" s="916">
        <v>814.8</v>
      </c>
      <c r="M52" s="915">
        <v>0</v>
      </c>
      <c r="N52" s="4"/>
      <c r="O52" s="4"/>
      <c r="P52" s="915">
        <v>814.8</v>
      </c>
      <c r="Q52" s="916">
        <v>0</v>
      </c>
      <c r="R52" s="916">
        <v>814.8</v>
      </c>
      <c r="S52" s="262">
        <f>P52+Q52-R52</f>
        <v>0</v>
      </c>
      <c r="T52" s="4"/>
      <c r="U52" s="4"/>
      <c r="V52" s="916">
        <v>0</v>
      </c>
      <c r="W52" s="916">
        <v>0</v>
      </c>
      <c r="X52" s="916">
        <v>0</v>
      </c>
      <c r="Y52" s="915">
        <f>V52+W52-X52</f>
        <v>0</v>
      </c>
      <c r="Z52" s="4"/>
      <c r="AA52" s="4"/>
      <c r="AB52" s="4"/>
      <c r="AC52" s="4"/>
      <c r="AD52" s="4"/>
    </row>
    <row r="53" spans="1:30" x14ac:dyDescent="0.25">
      <c r="A53" s="4"/>
      <c r="B53" s="257"/>
      <c r="C53" s="917" t="s">
        <v>271</v>
      </c>
      <c r="D53" s="916">
        <v>0</v>
      </c>
      <c r="E53" s="916">
        <v>1787.3610000000001</v>
      </c>
      <c r="F53" s="916">
        <v>0</v>
      </c>
      <c r="G53" s="915">
        <v>1787.3610000000001</v>
      </c>
      <c r="H53" s="256"/>
      <c r="I53" s="4"/>
      <c r="J53" s="915">
        <v>1787.4</v>
      </c>
      <c r="K53" s="916">
        <v>0</v>
      </c>
      <c r="L53" s="916">
        <v>1787.4</v>
      </c>
      <c r="M53" s="915">
        <v>0</v>
      </c>
      <c r="N53" s="4"/>
      <c r="O53" s="4"/>
      <c r="P53" s="915">
        <v>1787.4</v>
      </c>
      <c r="Q53" s="916">
        <v>0</v>
      </c>
      <c r="R53" s="916">
        <v>984.11400000000003</v>
      </c>
      <c r="S53" s="262">
        <f>P53+Q53-R53</f>
        <v>803.28600000000006</v>
      </c>
      <c r="T53" s="4"/>
      <c r="U53" s="4"/>
      <c r="V53" s="916">
        <v>0</v>
      </c>
      <c r="W53" s="916">
        <v>0</v>
      </c>
      <c r="X53" s="916">
        <v>0</v>
      </c>
      <c r="Y53" s="915">
        <f>V53+W53-X53</f>
        <v>0</v>
      </c>
      <c r="Z53" s="4"/>
      <c r="AA53" s="4"/>
      <c r="AB53" s="4"/>
      <c r="AC53" s="4"/>
      <c r="AD53" s="4"/>
    </row>
    <row r="54" spans="1:30" x14ac:dyDescent="0.25">
      <c r="A54" s="4"/>
      <c r="B54" s="257"/>
      <c r="C54" s="259" t="s">
        <v>71</v>
      </c>
      <c r="D54" s="263">
        <v>608.12400000000002</v>
      </c>
      <c r="E54" s="263">
        <v>504.53399999999999</v>
      </c>
      <c r="F54" s="263">
        <v>461.91699999999997</v>
      </c>
      <c r="G54" s="262">
        <f>D54+E54-F54</f>
        <v>650.74099999999999</v>
      </c>
      <c r="H54" s="256"/>
      <c r="I54" s="4"/>
      <c r="J54" s="262">
        <v>434.38099999999997</v>
      </c>
      <c r="K54" s="263">
        <v>600</v>
      </c>
      <c r="L54" s="263">
        <v>720</v>
      </c>
      <c r="M54" s="262">
        <f>J54+K54-L54</f>
        <v>314.38099999999986</v>
      </c>
      <c r="N54" s="4"/>
      <c r="O54" s="4"/>
      <c r="P54" s="262">
        <v>650.70000000000005</v>
      </c>
      <c r="Q54" s="263">
        <v>338.11399999999998</v>
      </c>
      <c r="R54" s="263">
        <v>695.24599999999998</v>
      </c>
      <c r="S54" s="262">
        <f>P54+Q54-R54</f>
        <v>293.5680000000001</v>
      </c>
      <c r="T54" s="4"/>
      <c r="U54" s="4"/>
      <c r="V54" s="263">
        <v>150</v>
      </c>
      <c r="W54" s="263">
        <v>676</v>
      </c>
      <c r="X54" s="263">
        <v>590.5</v>
      </c>
      <c r="Y54" s="262">
        <f>V54+W54-X54</f>
        <v>235.5</v>
      </c>
      <c r="Z54" s="4"/>
      <c r="AA54" s="4"/>
      <c r="AB54" s="4"/>
      <c r="AC54" s="4"/>
      <c r="AD54" s="4"/>
    </row>
    <row r="55" spans="1:30" x14ac:dyDescent="0.25">
      <c r="A55" s="4"/>
      <c r="B55" s="257"/>
      <c r="C55" s="259" t="s">
        <v>88</v>
      </c>
      <c r="D55" s="263">
        <v>102.4</v>
      </c>
      <c r="E55" s="263">
        <v>24</v>
      </c>
      <c r="F55" s="263">
        <v>32.889000000000003</v>
      </c>
      <c r="G55" s="262">
        <f>D55+E55-F55</f>
        <v>93.510999999999996</v>
      </c>
      <c r="H55" s="256"/>
      <c r="I55" s="4"/>
      <c r="J55" s="262">
        <v>95.262</v>
      </c>
      <c r="K55" s="263">
        <v>0</v>
      </c>
      <c r="L55" s="263">
        <v>10</v>
      </c>
      <c r="M55" s="262">
        <f>J55+K55-L55</f>
        <v>85.262</v>
      </c>
      <c r="N55" s="4"/>
      <c r="O55" s="4"/>
      <c r="P55" s="262">
        <v>93.5</v>
      </c>
      <c r="Q55" s="263">
        <v>60</v>
      </c>
      <c r="R55" s="263">
        <v>0</v>
      </c>
      <c r="S55" s="262">
        <f>P55+Q55-R55</f>
        <v>153.5</v>
      </c>
      <c r="T55" s="4"/>
      <c r="U55" s="4"/>
      <c r="V55" s="263">
        <v>53.512</v>
      </c>
      <c r="W55" s="263">
        <v>20</v>
      </c>
      <c r="X55" s="263">
        <v>30</v>
      </c>
      <c r="Y55" s="262">
        <f>V55+W55-X55</f>
        <v>43.512</v>
      </c>
      <c r="Z55" s="4"/>
      <c r="AA55" s="4"/>
      <c r="AB55" s="4"/>
      <c r="AC55" s="4"/>
      <c r="AD55" s="4"/>
    </row>
    <row r="56" spans="1:30" x14ac:dyDescent="0.25">
      <c r="A56" s="4"/>
      <c r="B56" s="257"/>
      <c r="C56" s="264" t="s">
        <v>89</v>
      </c>
      <c r="D56" s="263">
        <v>609.99900000000002</v>
      </c>
      <c r="E56" s="263">
        <v>718.76900000000001</v>
      </c>
      <c r="F56" s="263">
        <v>771.43799999999999</v>
      </c>
      <c r="G56" s="262">
        <f>D56+E56-F56</f>
        <v>557.33000000000004</v>
      </c>
      <c r="H56" s="256"/>
      <c r="I56" s="4"/>
      <c r="J56" s="262">
        <v>512.99199999999996</v>
      </c>
      <c r="K56" s="263">
        <v>672</v>
      </c>
      <c r="L56" s="263">
        <v>940</v>
      </c>
      <c r="M56" s="262">
        <f>J56+K56-L56</f>
        <v>244.99199999999996</v>
      </c>
      <c r="N56" s="4"/>
      <c r="O56" s="4"/>
      <c r="P56" s="262">
        <v>557.29999999999995</v>
      </c>
      <c r="Q56" s="263">
        <v>166.53100000000001</v>
      </c>
      <c r="R56" s="263">
        <v>315.76499999999999</v>
      </c>
      <c r="S56" s="262">
        <f>P56+Q56-R56</f>
        <v>408.06599999999992</v>
      </c>
      <c r="T56" s="4"/>
      <c r="U56" s="4"/>
      <c r="V56" s="263">
        <v>250</v>
      </c>
      <c r="W56" s="263">
        <v>320</v>
      </c>
      <c r="X56" s="263">
        <v>410</v>
      </c>
      <c r="Y56" s="262">
        <f>V56+W56-X56</f>
        <v>160</v>
      </c>
      <c r="Z56" s="4"/>
      <c r="AA56" s="4"/>
      <c r="AB56" s="4"/>
      <c r="AC56" s="4"/>
      <c r="AD56" s="4"/>
    </row>
    <row r="57" spans="1:30" ht="10.5" customHeight="1" x14ac:dyDescent="0.25">
      <c r="A57" s="4"/>
      <c r="B57" s="257"/>
      <c r="C57" s="164"/>
      <c r="D57" s="256"/>
      <c r="E57" s="256"/>
      <c r="F57" s="256"/>
      <c r="G57" s="256"/>
      <c r="H57" s="25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257"/>
      <c r="C58" s="261" t="s">
        <v>74</v>
      </c>
      <c r="D58" s="260" t="s">
        <v>75</v>
      </c>
      <c r="E58" s="260" t="s">
        <v>96</v>
      </c>
      <c r="F58" s="256"/>
      <c r="G58" s="256"/>
      <c r="H58" s="256"/>
      <c r="I58" s="255"/>
      <c r="J58" s="260" t="s">
        <v>97</v>
      </c>
      <c r="K58" s="256"/>
      <c r="L58" s="256"/>
      <c r="M58" s="256"/>
      <c r="N58" s="256"/>
      <c r="O58" s="255"/>
      <c r="P58" s="260" t="s">
        <v>98</v>
      </c>
      <c r="Q58" s="255"/>
      <c r="R58" s="255"/>
      <c r="S58" s="255"/>
      <c r="T58" s="255"/>
      <c r="U58" s="255"/>
      <c r="V58" s="260" t="s">
        <v>97</v>
      </c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257"/>
      <c r="C59" s="259"/>
      <c r="D59" s="258">
        <v>70.02</v>
      </c>
      <c r="E59" s="258">
        <v>70.069999999999993</v>
      </c>
      <c r="F59" s="256"/>
      <c r="G59" s="256"/>
      <c r="H59" s="256"/>
      <c r="I59" s="255"/>
      <c r="J59" s="258">
        <v>71</v>
      </c>
      <c r="K59" s="256"/>
      <c r="L59" s="256"/>
      <c r="M59" s="256"/>
      <c r="N59" s="256"/>
      <c r="O59" s="255"/>
      <c r="P59" s="258">
        <v>70.116</v>
      </c>
      <c r="Q59" s="255"/>
      <c r="R59" s="255"/>
      <c r="S59" s="255"/>
      <c r="T59" s="255"/>
      <c r="U59" s="255"/>
      <c r="V59" s="258">
        <v>71</v>
      </c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4"/>
      <c r="B60" s="257"/>
      <c r="C60" s="164"/>
      <c r="D60" s="256"/>
      <c r="E60" s="256"/>
      <c r="F60" s="256"/>
      <c r="G60" s="256"/>
      <c r="H60" s="256"/>
      <c r="I60" s="255"/>
      <c r="J60" s="256"/>
      <c r="K60" s="256"/>
      <c r="L60" s="256"/>
      <c r="M60" s="256"/>
      <c r="N60" s="256"/>
      <c r="O60" s="255"/>
      <c r="P60" s="255"/>
      <c r="Q60" s="255"/>
      <c r="R60" s="255"/>
      <c r="S60" s="255"/>
      <c r="T60" s="255"/>
      <c r="U60" s="255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4"/>
      <c r="B61" s="254" t="s">
        <v>92</v>
      </c>
      <c r="C61" s="253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1"/>
      <c r="W61" s="251"/>
      <c r="X61" s="251"/>
      <c r="Y61" s="251"/>
      <c r="Z61" s="251"/>
      <c r="AA61" s="251"/>
      <c r="AB61" s="250"/>
      <c r="AC61" s="4"/>
      <c r="AD61" s="4"/>
    </row>
    <row r="62" spans="1:30" x14ac:dyDescent="0.25">
      <c r="A62" s="4"/>
      <c r="B62" s="249" t="s">
        <v>270</v>
      </c>
      <c r="M62"/>
      <c r="AB62" s="240"/>
      <c r="AC62" s="4"/>
      <c r="AD62" s="4"/>
    </row>
    <row r="63" spans="1:30" x14ac:dyDescent="0.25">
      <c r="A63" s="4"/>
      <c r="B63" s="248" t="s">
        <v>269</v>
      </c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AB63" s="240"/>
      <c r="AC63" s="4"/>
      <c r="AD63" s="4"/>
    </row>
    <row r="64" spans="1:30" x14ac:dyDescent="0.25">
      <c r="A64" s="4"/>
      <c r="B64" s="248" t="s">
        <v>268</v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AB64" s="240"/>
      <c r="AC64" s="4"/>
      <c r="AD64" s="4"/>
    </row>
    <row r="65" spans="1:30" x14ac:dyDescent="0.25">
      <c r="A65" s="4"/>
      <c r="B65" s="245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AB65" s="240"/>
      <c r="AC65" s="4"/>
      <c r="AD65" s="4"/>
    </row>
    <row r="66" spans="1:30" x14ac:dyDescent="0.25">
      <c r="A66" s="4"/>
      <c r="B66" s="246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AB66" s="240"/>
      <c r="AC66" s="4"/>
      <c r="AD66" s="4"/>
    </row>
    <row r="67" spans="1:30" x14ac:dyDescent="0.25">
      <c r="A67" s="4"/>
      <c r="B67" s="246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AB67" s="240"/>
      <c r="AC67" s="4"/>
      <c r="AD67" s="4"/>
    </row>
    <row r="68" spans="1:30" x14ac:dyDescent="0.25">
      <c r="A68" s="4"/>
      <c r="B68" s="246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AB68" s="240"/>
      <c r="AC68" s="4"/>
      <c r="AD68" s="4"/>
    </row>
    <row r="69" spans="1:30" x14ac:dyDescent="0.25">
      <c r="A69" s="4"/>
      <c r="B69" s="246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AB69" s="240"/>
      <c r="AC69" s="4"/>
      <c r="AD69" s="4"/>
    </row>
    <row r="70" spans="1:30" x14ac:dyDescent="0.25">
      <c r="A70" s="4"/>
      <c r="B70" s="246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AB70" s="240"/>
      <c r="AC70" s="4"/>
      <c r="AD70" s="4"/>
    </row>
    <row r="71" spans="1:30" x14ac:dyDescent="0.25">
      <c r="A71" s="4"/>
      <c r="B71" s="246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AB71" s="240"/>
      <c r="AC71" s="4"/>
      <c r="AD71" s="4"/>
    </row>
    <row r="72" spans="1:30" x14ac:dyDescent="0.25">
      <c r="A72" s="4"/>
      <c r="B72" s="246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AB72" s="240"/>
      <c r="AC72" s="4"/>
      <c r="AD72" s="4"/>
    </row>
    <row r="73" spans="1:30" x14ac:dyDescent="0.25">
      <c r="A73" s="4"/>
      <c r="B73" s="246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AB73" s="240"/>
      <c r="AC73" s="4"/>
      <c r="AD73" s="4"/>
    </row>
    <row r="74" spans="1:30" x14ac:dyDescent="0.25">
      <c r="A74" s="4"/>
      <c r="B74" s="246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AB74" s="240"/>
      <c r="AC74" s="4"/>
      <c r="AD74" s="4"/>
    </row>
    <row r="75" spans="1:30" x14ac:dyDescent="0.25">
      <c r="A75" s="4"/>
      <c r="B75" s="246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AB75" s="240"/>
      <c r="AC75" s="4"/>
      <c r="AD75" s="4"/>
    </row>
    <row r="76" spans="1:30" x14ac:dyDescent="0.25">
      <c r="A76" s="4"/>
      <c r="B76" s="246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AB76" s="240"/>
      <c r="AC76" s="4"/>
      <c r="AD76" s="4"/>
    </row>
    <row r="77" spans="1:30" x14ac:dyDescent="0.25">
      <c r="A77" s="4"/>
      <c r="B77" s="246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AB77" s="240"/>
      <c r="AC77" s="4"/>
      <c r="AD77" s="4"/>
    </row>
    <row r="78" spans="1:30" x14ac:dyDescent="0.25">
      <c r="A78" s="4"/>
      <c r="B78" s="246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AB78" s="240"/>
      <c r="AC78" s="4"/>
      <c r="AD78" s="4"/>
    </row>
    <row r="79" spans="1:30" x14ac:dyDescent="0.25">
      <c r="A79" s="4"/>
      <c r="B79" s="246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AB79" s="240"/>
      <c r="AC79" s="4"/>
      <c r="AD79" s="4"/>
    </row>
    <row r="80" spans="1:30" x14ac:dyDescent="0.25">
      <c r="A80" s="4"/>
      <c r="B80" s="246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AB80" s="240"/>
      <c r="AC80" s="4"/>
      <c r="AD80" s="4"/>
    </row>
    <row r="81" spans="1:30" x14ac:dyDescent="0.25">
      <c r="A81" s="4"/>
      <c r="B81" s="246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AB81" s="240"/>
      <c r="AC81" s="4"/>
      <c r="AD81" s="4"/>
    </row>
    <row r="82" spans="1:30" x14ac:dyDescent="0.25">
      <c r="A82" s="4"/>
      <c r="B82" s="246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AB82" s="240"/>
      <c r="AC82" s="4"/>
      <c r="AD82" s="4"/>
    </row>
    <row r="83" spans="1:30" x14ac:dyDescent="0.25">
      <c r="A83" s="4"/>
      <c r="B83" s="246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AB83" s="240"/>
      <c r="AC83" s="4"/>
      <c r="AD83" s="4"/>
    </row>
    <row r="84" spans="1:30" x14ac:dyDescent="0.25">
      <c r="A84" s="4"/>
      <c r="B84" s="245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AB84" s="240"/>
      <c r="AC84" s="4"/>
      <c r="AD84" s="4"/>
    </row>
    <row r="85" spans="1:30" x14ac:dyDescent="0.25">
      <c r="A85" s="4"/>
      <c r="B85" s="244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AB85" s="240"/>
      <c r="AC85" s="4"/>
      <c r="AD85" s="4"/>
    </row>
    <row r="86" spans="1:30" x14ac:dyDescent="0.25">
      <c r="A86" s="4"/>
      <c r="B86" s="244"/>
      <c r="C86" s="242"/>
      <c r="D86" s="242"/>
      <c r="E86" s="242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AB86" s="240"/>
      <c r="AC86" s="4"/>
      <c r="AD86" s="4"/>
    </row>
    <row r="87" spans="1:30" x14ac:dyDescent="0.25">
      <c r="A87" s="4"/>
      <c r="B87" s="244"/>
      <c r="C87" s="243"/>
      <c r="D87" s="242"/>
      <c r="E87" s="242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AB87" s="240"/>
      <c r="AC87" s="4"/>
      <c r="AD87" s="4"/>
    </row>
    <row r="88" spans="1:30" x14ac:dyDescent="0.25">
      <c r="A88" s="4"/>
      <c r="B88" s="244"/>
      <c r="C88" s="243"/>
      <c r="D88" s="242"/>
      <c r="E88" s="242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AB88" s="240"/>
      <c r="AC88" s="4"/>
      <c r="AD88" s="4"/>
    </row>
    <row r="89" spans="1:30" x14ac:dyDescent="0.25">
      <c r="A89" s="4"/>
      <c r="B89" s="239"/>
      <c r="C89" s="238"/>
      <c r="D89" s="237"/>
      <c r="E89" s="237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5"/>
      <c r="W89" s="235"/>
      <c r="X89" s="235"/>
      <c r="Y89" s="235"/>
      <c r="Z89" s="235"/>
      <c r="AA89" s="235"/>
      <c r="AB89" s="234"/>
      <c r="AC89" s="4"/>
      <c r="AD89" s="4"/>
    </row>
    <row r="90" spans="1:30" x14ac:dyDescent="0.25">
      <c r="A90" s="4"/>
      <c r="B90" s="232"/>
      <c r="C90" s="233"/>
      <c r="D90" s="232"/>
      <c r="E90" s="232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232"/>
      <c r="C91" s="233"/>
      <c r="D91" s="232"/>
      <c r="E91" s="232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4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225" t="s">
        <v>80</v>
      </c>
      <c r="C93" s="230">
        <v>45576</v>
      </c>
      <c r="D93" s="225" t="s">
        <v>76</v>
      </c>
      <c r="E93" s="229" t="s">
        <v>267</v>
      </c>
      <c r="F93" s="229"/>
      <c r="G93" s="229"/>
      <c r="H93" s="225"/>
      <c r="I93" s="225" t="s">
        <v>77</v>
      </c>
      <c r="J93" s="228" t="s">
        <v>266</v>
      </c>
      <c r="K93" s="228"/>
      <c r="L93" s="228"/>
      <c r="M93" s="228"/>
      <c r="N93" s="225"/>
      <c r="O93" s="225"/>
      <c r="P93" s="225"/>
      <c r="Q93" s="225"/>
      <c r="R93" s="225"/>
      <c r="S93" s="225"/>
      <c r="T93" s="225"/>
      <c r="U93" s="225"/>
      <c r="V93" s="4"/>
      <c r="W93" s="4"/>
      <c r="X93" s="4"/>
      <c r="Y93" s="4"/>
      <c r="Z93" s="4"/>
      <c r="AA93" s="4"/>
      <c r="AB93" s="4"/>
      <c r="AC93" s="4"/>
      <c r="AD93" s="4"/>
    </row>
    <row r="94" spans="1:30" ht="7.5" customHeight="1" x14ac:dyDescent="0.25">
      <c r="A94" s="4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225"/>
      <c r="C95" s="225"/>
      <c r="D95" s="225" t="s">
        <v>79</v>
      </c>
      <c r="E95" s="227"/>
      <c r="F95" s="227"/>
      <c r="G95" s="227"/>
      <c r="H95" s="225"/>
      <c r="I95" s="225" t="s">
        <v>79</v>
      </c>
      <c r="J95" s="226"/>
      <c r="K95" s="226"/>
      <c r="L95" s="226"/>
      <c r="M95" s="226"/>
      <c r="N95" s="225"/>
      <c r="O95" s="225"/>
      <c r="P95" s="225"/>
      <c r="Q95" s="225"/>
      <c r="R95" s="225"/>
      <c r="S95" s="225"/>
      <c r="T95" s="225"/>
      <c r="U95" s="225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225"/>
      <c r="C96" s="225"/>
      <c r="D96" s="225"/>
      <c r="E96" s="227"/>
      <c r="F96" s="227"/>
      <c r="G96" s="227"/>
      <c r="H96" s="225"/>
      <c r="I96" s="225"/>
      <c r="J96" s="226"/>
      <c r="K96" s="226"/>
      <c r="L96" s="226"/>
      <c r="M96" s="226"/>
      <c r="N96" s="225"/>
      <c r="O96" s="225"/>
      <c r="P96" s="225"/>
      <c r="Q96" s="225"/>
      <c r="R96" s="225"/>
      <c r="S96" s="225"/>
      <c r="T96" s="225"/>
      <c r="U96" s="225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4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4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4"/>
      <c r="W98" s="4"/>
      <c r="X98" s="4"/>
      <c r="Y98" s="4"/>
      <c r="Z98" s="4"/>
      <c r="AA98" s="4"/>
      <c r="AB98" s="4"/>
      <c r="AC98" s="4"/>
      <c r="AD98" s="4"/>
    </row>
    <row r="99" spans="1:30" hidden="1" x14ac:dyDescent="0.25"/>
    <row r="100" spans="1:30" hidden="1" x14ac:dyDescent="0.25"/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t="15" hidden="1" customHeight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t="15" hidden="1" customHeight="1" x14ac:dyDescent="0.25"/>
    <row r="130" ht="15" hidden="1" customHeight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3:G93"/>
    <mergeCell ref="J93:M93"/>
    <mergeCell ref="B65:U65"/>
    <mergeCell ref="B84:U84"/>
    <mergeCell ref="D4:U4"/>
    <mergeCell ref="D8:U8"/>
    <mergeCell ref="C43:C44"/>
    <mergeCell ref="C46:C47"/>
    <mergeCell ref="C26:C27"/>
    <mergeCell ref="B64:U64"/>
    <mergeCell ref="D61:U61"/>
    <mergeCell ref="B63:U63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13" priority="3" operator="equal">
      <formula>0</formula>
    </cfRule>
    <cfRule type="containsErrors" dxfId="12" priority="4">
      <formula>ISERROR(AB15)</formula>
    </cfRule>
  </conditionalFormatting>
  <conditionalFormatting sqref="AB28:AB41">
    <cfRule type="cellIs" dxfId="11" priority="1" operator="equal">
      <formula>0</formula>
    </cfRule>
    <cfRule type="containsErrors" dxfId="1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276"/>
  <sheetViews>
    <sheetView showGridLines="0" zoomScale="80" zoomScaleNormal="80" zoomScaleSheetLayoutView="80" workbookViewId="0">
      <selection activeCell="C91" sqref="C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15.28515625" customWidth="1"/>
    <col min="30" max="30" width="0" hidden="1" customWidth="1"/>
    <col min="31" max="16382" width="9.140625" style="3" hidden="1"/>
    <col min="16383" max="16383" width="5" style="3" customWidth="1"/>
    <col min="16384" max="16384" width="15.85546875" style="3" customWidth="1"/>
  </cols>
  <sheetData>
    <row r="1" spans="1:30 16384:1638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 16384:16384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 16384:16384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 16384:16384" ht="21" x14ac:dyDescent="0.35">
      <c r="A4" s="5"/>
      <c r="B4" s="5" t="s">
        <v>43</v>
      </c>
      <c r="C4" s="5"/>
      <c r="D4" s="171" t="s">
        <v>283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4"/>
      <c r="W4" s="4"/>
      <c r="X4" s="4"/>
      <c r="Y4" s="4"/>
      <c r="Z4" s="4"/>
      <c r="AA4" s="4"/>
      <c r="AB4" s="4"/>
      <c r="AC4" s="4"/>
    </row>
    <row r="5" spans="1:30 16384:16384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 16384:16384" x14ac:dyDescent="0.25">
      <c r="A6" s="5"/>
      <c r="B6" s="5" t="s">
        <v>44</v>
      </c>
      <c r="C6" s="5"/>
      <c r="D6" s="481">
        <v>46789677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 16384:16384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 16384:16384" x14ac:dyDescent="0.25">
      <c r="A8" s="5"/>
      <c r="B8" s="5" t="s">
        <v>45</v>
      </c>
      <c r="C8" s="5"/>
      <c r="D8" s="647" t="s">
        <v>282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4"/>
      <c r="W8" s="4"/>
      <c r="X8" s="4"/>
      <c r="Y8" s="4"/>
      <c r="Z8" s="4"/>
      <c r="AA8" s="4"/>
      <c r="AB8" s="4"/>
      <c r="AC8" s="4"/>
    </row>
    <row r="9" spans="1:30 16384:16384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 16384:16384" ht="29.25" customHeight="1" thickBot="1" x14ac:dyDescent="0.3">
      <c r="A10" s="5"/>
      <c r="B10" s="173" t="s">
        <v>37</v>
      </c>
      <c r="C10" s="176" t="s">
        <v>38</v>
      </c>
      <c r="D10" s="180" t="s">
        <v>107</v>
      </c>
      <c r="E10" s="181"/>
      <c r="F10" s="181"/>
      <c r="G10" s="181"/>
      <c r="H10" s="181"/>
      <c r="I10" s="182"/>
      <c r="J10" s="180" t="s">
        <v>108</v>
      </c>
      <c r="K10" s="181"/>
      <c r="L10" s="181"/>
      <c r="M10" s="181"/>
      <c r="N10" s="181"/>
      <c r="O10" s="182"/>
      <c r="P10" s="180" t="s">
        <v>109</v>
      </c>
      <c r="Q10" s="181"/>
      <c r="R10" s="181"/>
      <c r="S10" s="181"/>
      <c r="T10" s="181"/>
      <c r="U10" s="182"/>
      <c r="V10" s="180" t="s">
        <v>110</v>
      </c>
      <c r="W10" s="181"/>
      <c r="X10" s="181"/>
      <c r="Y10" s="181"/>
      <c r="Z10" s="181"/>
      <c r="AA10" s="182"/>
      <c r="AB10" s="189" t="s">
        <v>176</v>
      </c>
      <c r="AC10" s="4"/>
      <c r="AD10" s="4"/>
    </row>
    <row r="11" spans="1:30 16384:16384" ht="30.75" customHeight="1" thickBot="1" x14ac:dyDescent="0.3">
      <c r="A11" s="5"/>
      <c r="B11" s="174"/>
      <c r="C11" s="177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 16384:16384" ht="15.75" customHeight="1" thickBot="1" x14ac:dyDescent="0.3">
      <c r="A12" s="5"/>
      <c r="B12" s="174"/>
      <c r="C12" s="178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 16384:16384" ht="15.75" customHeight="1" thickBot="1" x14ac:dyDescent="0.3">
      <c r="A13" s="5"/>
      <c r="B13" s="175"/>
      <c r="C13" s="179"/>
      <c r="D13" s="187" t="s">
        <v>57</v>
      </c>
      <c r="E13" s="188"/>
      <c r="F13" s="188"/>
      <c r="G13" s="183" t="s">
        <v>63</v>
      </c>
      <c r="H13" s="185" t="s">
        <v>66</v>
      </c>
      <c r="I13" s="209" t="s">
        <v>62</v>
      </c>
      <c r="J13" s="187" t="s">
        <v>57</v>
      </c>
      <c r="K13" s="188"/>
      <c r="L13" s="188"/>
      <c r="M13" s="183" t="s">
        <v>63</v>
      </c>
      <c r="N13" s="185" t="s">
        <v>66</v>
      </c>
      <c r="O13" s="209" t="s">
        <v>62</v>
      </c>
      <c r="P13" s="187" t="s">
        <v>57</v>
      </c>
      <c r="Q13" s="188"/>
      <c r="R13" s="188"/>
      <c r="S13" s="183" t="s">
        <v>63</v>
      </c>
      <c r="T13" s="185" t="s">
        <v>66</v>
      </c>
      <c r="U13" s="209" t="s">
        <v>62</v>
      </c>
      <c r="V13" s="187" t="s">
        <v>57</v>
      </c>
      <c r="W13" s="188"/>
      <c r="X13" s="188"/>
      <c r="Y13" s="183" t="s">
        <v>63</v>
      </c>
      <c r="Z13" s="185" t="s">
        <v>66</v>
      </c>
      <c r="AA13" s="209" t="s">
        <v>62</v>
      </c>
      <c r="AB13" s="190"/>
      <c r="AC13" s="4"/>
      <c r="AD13" s="4"/>
    </row>
    <row r="14" spans="1:30 16384:16384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4"/>
      <c r="H14" s="186"/>
      <c r="I14" s="210"/>
      <c r="J14" s="141" t="s">
        <v>58</v>
      </c>
      <c r="K14" s="142" t="s">
        <v>90</v>
      </c>
      <c r="L14" s="142" t="s">
        <v>59</v>
      </c>
      <c r="M14" s="184"/>
      <c r="N14" s="186"/>
      <c r="O14" s="210"/>
      <c r="P14" s="141" t="s">
        <v>58</v>
      </c>
      <c r="Q14" s="142" t="s">
        <v>90</v>
      </c>
      <c r="R14" s="142" t="s">
        <v>59</v>
      </c>
      <c r="S14" s="184"/>
      <c r="T14" s="186"/>
      <c r="U14" s="210"/>
      <c r="V14" s="141" t="s">
        <v>58</v>
      </c>
      <c r="W14" s="142" t="s">
        <v>90</v>
      </c>
      <c r="X14" s="142" t="s">
        <v>59</v>
      </c>
      <c r="Y14" s="184"/>
      <c r="Z14" s="186"/>
      <c r="AA14" s="210"/>
      <c r="AB14" s="191"/>
      <c r="AC14" s="4"/>
      <c r="AD14" s="4"/>
    </row>
    <row r="15" spans="1:30 16384:16384" x14ac:dyDescent="0.25">
      <c r="A15" s="5"/>
      <c r="B15" s="35" t="s">
        <v>0</v>
      </c>
      <c r="C15" s="126" t="s">
        <v>52</v>
      </c>
      <c r="D15" s="12"/>
      <c r="E15" s="13"/>
      <c r="F15" s="56">
        <v>2172.4</v>
      </c>
      <c r="G15" s="63">
        <f>SUM(D15:F15)</f>
        <v>2172.4</v>
      </c>
      <c r="H15" s="66">
        <v>6.2</v>
      </c>
      <c r="I15" s="14">
        <f>G15+H15</f>
        <v>2178.6</v>
      </c>
      <c r="J15" s="687"/>
      <c r="K15" s="686"/>
      <c r="L15" s="685">
        <v>2300</v>
      </c>
      <c r="M15" s="684">
        <f>SUM(J15:L15)</f>
        <v>2300</v>
      </c>
      <c r="N15" s="679">
        <v>10</v>
      </c>
      <c r="O15" s="621">
        <f>M15+N15</f>
        <v>2310</v>
      </c>
      <c r="P15" s="12"/>
      <c r="Q15" s="13"/>
      <c r="R15" s="646">
        <f>1315.4+8.115</f>
        <v>1323.5150000000001</v>
      </c>
      <c r="S15" s="63">
        <f>SUM(P15:R15)</f>
        <v>1323.5150000000001</v>
      </c>
      <c r="T15" s="66">
        <v>5.7</v>
      </c>
      <c r="U15" s="14">
        <f>S15+T15</f>
        <v>1329.2150000000001</v>
      </c>
      <c r="V15" s="12"/>
      <c r="W15" s="13"/>
      <c r="X15" s="56">
        <v>2300</v>
      </c>
      <c r="Y15" s="63">
        <f>SUM(V15:X15)</f>
        <v>2300</v>
      </c>
      <c r="Z15" s="66"/>
      <c r="AA15" s="14">
        <f>Y15+Z15</f>
        <v>2300</v>
      </c>
      <c r="AB15" s="620">
        <f>IFERROR(AA15/O15,0)</f>
        <v>0.99567099567099571</v>
      </c>
      <c r="AC15" s="4"/>
      <c r="AD15" s="4"/>
    </row>
    <row r="16" spans="1:30 16384:16384" x14ac:dyDescent="0.25">
      <c r="A16" s="5"/>
      <c r="B16" s="15" t="s">
        <v>1</v>
      </c>
      <c r="C16" s="127" t="s">
        <v>60</v>
      </c>
      <c r="D16" s="57">
        <v>7859</v>
      </c>
      <c r="E16" s="16"/>
      <c r="F16" s="16"/>
      <c r="G16" s="64">
        <f>SUM(D16:F16)</f>
        <v>7859</v>
      </c>
      <c r="H16" s="67"/>
      <c r="I16" s="14">
        <f>G16+H16</f>
        <v>7859</v>
      </c>
      <c r="J16" s="683">
        <f>8185.2+320</f>
        <v>8505.2000000000007</v>
      </c>
      <c r="K16" s="674"/>
      <c r="L16" s="674"/>
      <c r="M16" s="672">
        <f>SUM(J16:L16)</f>
        <v>8505.2000000000007</v>
      </c>
      <c r="N16" s="682"/>
      <c r="O16" s="621">
        <f>M16+N16</f>
        <v>8505.2000000000007</v>
      </c>
      <c r="P16" s="57">
        <v>4092.6</v>
      </c>
      <c r="Q16" s="645"/>
      <c r="R16" s="16"/>
      <c r="S16" s="64">
        <f>SUM(P16:R16)</f>
        <v>4092.6</v>
      </c>
      <c r="T16" s="67"/>
      <c r="U16" s="14">
        <f>S16+T16</f>
        <v>4092.6</v>
      </c>
      <c r="V16" s="57">
        <v>8878.7999999999993</v>
      </c>
      <c r="W16" s="16"/>
      <c r="X16" s="16"/>
      <c r="Y16" s="64">
        <f>SUM(V16:X16)</f>
        <v>8878.7999999999993</v>
      </c>
      <c r="Z16" s="67"/>
      <c r="AA16" s="14">
        <f>Y16+Z16</f>
        <v>8878.7999999999993</v>
      </c>
      <c r="AB16" s="620">
        <f>IFERROR(AA16/O16,0)</f>
        <v>1.0439260687579361</v>
      </c>
      <c r="AC16" s="922"/>
      <c r="AD16" s="4"/>
      <c r="XFD16" s="923"/>
    </row>
    <row r="17" spans="1:30 16384:16384" x14ac:dyDescent="0.25">
      <c r="A17" s="5"/>
      <c r="B17" s="15" t="s">
        <v>3</v>
      </c>
      <c r="C17" s="128" t="s">
        <v>78</v>
      </c>
      <c r="D17" s="58">
        <v>523.1</v>
      </c>
      <c r="E17" s="17"/>
      <c r="F17" s="17"/>
      <c r="G17" s="64">
        <f>SUM(D17:F17)</f>
        <v>523.1</v>
      </c>
      <c r="H17" s="68"/>
      <c r="I17" s="14">
        <f>G17+H17</f>
        <v>523.1</v>
      </c>
      <c r="J17" s="421">
        <v>971.3</v>
      </c>
      <c r="K17" s="677"/>
      <c r="L17" s="677"/>
      <c r="M17" s="672">
        <f>SUM(J17:L17)</f>
        <v>971.3</v>
      </c>
      <c r="N17" s="681"/>
      <c r="O17" s="621">
        <f>M17+N17</f>
        <v>971.3</v>
      </c>
      <c r="P17" s="58">
        <v>147.655</v>
      </c>
      <c r="Q17" s="17"/>
      <c r="R17" s="17"/>
      <c r="S17" s="64">
        <f>SUM(P17:R17)</f>
        <v>147.655</v>
      </c>
      <c r="T17" s="68"/>
      <c r="U17" s="14">
        <f>S17+T17</f>
        <v>147.655</v>
      </c>
      <c r="V17" s="58">
        <f>191.1+230.7+550</f>
        <v>971.8</v>
      </c>
      <c r="W17" s="17"/>
      <c r="X17" s="17"/>
      <c r="Y17" s="64">
        <f>SUM(V17:X17)</f>
        <v>971.8</v>
      </c>
      <c r="Z17" s="68"/>
      <c r="AA17" s="14">
        <f>Y17+Z17</f>
        <v>971.8</v>
      </c>
      <c r="AB17" s="620">
        <f>IFERROR(AA17/O17,0)</f>
        <v>1.0005147740142077</v>
      </c>
      <c r="AC17" s="922"/>
      <c r="AD17" s="4"/>
      <c r="XFD17" s="923"/>
    </row>
    <row r="18" spans="1:30 16384:16384" x14ac:dyDescent="0.25">
      <c r="A18" s="5"/>
      <c r="B18" s="15" t="s">
        <v>5</v>
      </c>
      <c r="C18" s="129" t="s">
        <v>53</v>
      </c>
      <c r="D18" s="18"/>
      <c r="E18" s="59">
        <v>64538.2</v>
      </c>
      <c r="F18" s="17"/>
      <c r="G18" s="64">
        <f>SUM(D18:F18)</f>
        <v>64538.2</v>
      </c>
      <c r="H18" s="66"/>
      <c r="I18" s="14">
        <f>G18+H18</f>
        <v>64538.2</v>
      </c>
      <c r="J18" s="675"/>
      <c r="K18" s="680">
        <v>63952.5</v>
      </c>
      <c r="L18" s="677"/>
      <c r="M18" s="672">
        <f>SUM(J18:L18)</f>
        <v>63952.5</v>
      </c>
      <c r="N18" s="679"/>
      <c r="O18" s="621">
        <f>M18+N18</f>
        <v>63952.5</v>
      </c>
      <c r="P18" s="18"/>
      <c r="Q18" s="59">
        <v>29937.200000000001</v>
      </c>
      <c r="R18" s="17"/>
      <c r="S18" s="64">
        <f>SUM(P18:R18)</f>
        <v>29937.200000000001</v>
      </c>
      <c r="T18" s="66"/>
      <c r="U18" s="14">
        <f>S18+T18</f>
        <v>29937.200000000001</v>
      </c>
      <c r="V18" s="18"/>
      <c r="W18" s="59">
        <v>64000</v>
      </c>
      <c r="X18" s="17"/>
      <c r="Y18" s="64">
        <f>SUM(V18:X18)</f>
        <v>64000</v>
      </c>
      <c r="Z18" s="66"/>
      <c r="AA18" s="14">
        <f>Y18+Z18</f>
        <v>64000</v>
      </c>
      <c r="AB18" s="620">
        <f>IFERROR(AA18/O18,0)</f>
        <v>1.0007427387514172</v>
      </c>
      <c r="AC18" s="922"/>
      <c r="AD18" s="4"/>
      <c r="XFD18" s="923"/>
    </row>
    <row r="19" spans="1:30 16384:16384" x14ac:dyDescent="0.25">
      <c r="A19" s="5"/>
      <c r="B19" s="15" t="s">
        <v>7</v>
      </c>
      <c r="C19" s="40" t="s">
        <v>46</v>
      </c>
      <c r="D19" s="19"/>
      <c r="E19" s="17"/>
      <c r="F19" s="60">
        <v>895.5</v>
      </c>
      <c r="G19" s="64">
        <f>SUM(D19:F19)</f>
        <v>895.5</v>
      </c>
      <c r="H19" s="69"/>
      <c r="I19" s="14">
        <f>G19+H19</f>
        <v>895.5</v>
      </c>
      <c r="J19" s="678"/>
      <c r="K19" s="677"/>
      <c r="L19" s="415">
        <v>895.5</v>
      </c>
      <c r="M19" s="672">
        <f>SUM(J19:L19)</f>
        <v>895.5</v>
      </c>
      <c r="N19" s="676"/>
      <c r="O19" s="621">
        <f>M19+N19</f>
        <v>895.5</v>
      </c>
      <c r="P19" s="19"/>
      <c r="Q19" s="17"/>
      <c r="R19" s="60">
        <v>447.8</v>
      </c>
      <c r="S19" s="64">
        <f>SUM(P19:R19)</f>
        <v>447.8</v>
      </c>
      <c r="T19" s="69"/>
      <c r="U19" s="14">
        <f>S19+T19</f>
        <v>447.8</v>
      </c>
      <c r="V19" s="19"/>
      <c r="W19" s="17"/>
      <c r="X19" s="60">
        <v>895.5</v>
      </c>
      <c r="Y19" s="64">
        <f>SUM(V19:X19)</f>
        <v>895.5</v>
      </c>
      <c r="Z19" s="69"/>
      <c r="AA19" s="14">
        <f>Y19+Z19</f>
        <v>895.5</v>
      </c>
      <c r="AB19" s="620">
        <f>IFERROR(AA19/O19,0)</f>
        <v>1</v>
      </c>
      <c r="AC19" s="922"/>
      <c r="AD19" s="4"/>
      <c r="XFD19" s="923"/>
    </row>
    <row r="20" spans="1:30 16384:16384" x14ac:dyDescent="0.25">
      <c r="A20" s="5"/>
      <c r="B20" s="15" t="s">
        <v>9</v>
      </c>
      <c r="C20" s="130" t="s">
        <v>47</v>
      </c>
      <c r="D20" s="18"/>
      <c r="E20" s="16"/>
      <c r="F20" s="61">
        <v>504.9</v>
      </c>
      <c r="G20" s="64">
        <f>SUM(D20:F20)</f>
        <v>504.9</v>
      </c>
      <c r="H20" s="69"/>
      <c r="I20" s="14">
        <f>G20+H20</f>
        <v>504.9</v>
      </c>
      <c r="J20" s="675"/>
      <c r="K20" s="674"/>
      <c r="L20" s="673">
        <v>250</v>
      </c>
      <c r="M20" s="672">
        <f>SUM(J20:L20)</f>
        <v>250</v>
      </c>
      <c r="N20" s="676"/>
      <c r="O20" s="621">
        <f>M20+N20</f>
        <v>250</v>
      </c>
      <c r="P20" s="18"/>
      <c r="Q20" s="16"/>
      <c r="R20" s="61">
        <v>174.1</v>
      </c>
      <c r="S20" s="64">
        <f>SUM(P20:R20)</f>
        <v>174.1</v>
      </c>
      <c r="T20" s="69"/>
      <c r="U20" s="14">
        <f>S20+T20</f>
        <v>174.1</v>
      </c>
      <c r="V20" s="18"/>
      <c r="W20" s="16"/>
      <c r="X20" s="61">
        <v>250</v>
      </c>
      <c r="Y20" s="64">
        <f>SUM(V20:X20)</f>
        <v>250</v>
      </c>
      <c r="Z20" s="69"/>
      <c r="AA20" s="14">
        <f>Y20+Z20</f>
        <v>250</v>
      </c>
      <c r="AB20" s="620">
        <f>IFERROR(AA20/O20,0)</f>
        <v>1</v>
      </c>
      <c r="AC20" s="922"/>
      <c r="AD20" s="4"/>
      <c r="XFD20" s="923"/>
    </row>
    <row r="21" spans="1:30 16384:16384" x14ac:dyDescent="0.25">
      <c r="A21" s="5"/>
      <c r="B21" s="15" t="s">
        <v>11</v>
      </c>
      <c r="C21" s="39" t="s">
        <v>2</v>
      </c>
      <c r="D21" s="18"/>
      <c r="E21" s="16"/>
      <c r="F21" s="61">
        <v>696.9</v>
      </c>
      <c r="G21" s="64">
        <f>SUM(D21:F21)</f>
        <v>696.9</v>
      </c>
      <c r="H21" s="70">
        <v>287.39999999999998</v>
      </c>
      <c r="I21" s="14">
        <f>G21+H21</f>
        <v>984.3</v>
      </c>
      <c r="J21" s="675"/>
      <c r="K21" s="674"/>
      <c r="L21" s="673">
        <v>200</v>
      </c>
      <c r="M21" s="672">
        <f>SUM(J21:L21)</f>
        <v>200</v>
      </c>
      <c r="N21" s="671">
        <v>210</v>
      </c>
      <c r="O21" s="621">
        <f>M21+N21</f>
        <v>410</v>
      </c>
      <c r="P21" s="18"/>
      <c r="Q21" s="16"/>
      <c r="R21" s="61">
        <v>360.1</v>
      </c>
      <c r="S21" s="64">
        <f>SUM(P21:R21)</f>
        <v>360.1</v>
      </c>
      <c r="T21" s="70">
        <v>154.69999999999999</v>
      </c>
      <c r="U21" s="14">
        <f>S21+T21</f>
        <v>514.79999999999995</v>
      </c>
      <c r="V21" s="18"/>
      <c r="W21" s="16"/>
      <c r="X21" s="61">
        <v>200</v>
      </c>
      <c r="Y21" s="64">
        <f>SUM(V21:X21)</f>
        <v>200</v>
      </c>
      <c r="Z21" s="70">
        <v>200</v>
      </c>
      <c r="AA21" s="14">
        <f>Y21+Z21</f>
        <v>400</v>
      </c>
      <c r="AB21" s="620">
        <f>IFERROR(AA21/O21,0)</f>
        <v>0.97560975609756095</v>
      </c>
      <c r="AC21" s="922"/>
      <c r="AD21" s="4"/>
      <c r="XFD21" s="923"/>
    </row>
    <row r="22" spans="1:30 16384:16384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>SUM(D22:F22)</f>
        <v>0</v>
      </c>
      <c r="H22" s="70">
        <v>287.39999999999998</v>
      </c>
      <c r="I22" s="14">
        <f>G22+H22</f>
        <v>287.39999999999998</v>
      </c>
      <c r="J22" s="675"/>
      <c r="K22" s="674"/>
      <c r="L22" s="673"/>
      <c r="M22" s="672">
        <f>SUM(J22:L22)</f>
        <v>0</v>
      </c>
      <c r="N22" s="671">
        <v>200</v>
      </c>
      <c r="O22" s="621">
        <f>M22+N22</f>
        <v>200</v>
      </c>
      <c r="P22" s="18"/>
      <c r="Q22" s="16"/>
      <c r="R22" s="61"/>
      <c r="S22" s="64">
        <f>SUM(P22:R22)</f>
        <v>0</v>
      </c>
      <c r="T22" s="70">
        <v>154.69999999999999</v>
      </c>
      <c r="U22" s="14">
        <f>S22+T22</f>
        <v>154.69999999999999</v>
      </c>
      <c r="V22" s="18"/>
      <c r="W22" s="16"/>
      <c r="X22" s="61"/>
      <c r="Y22" s="64">
        <f>SUM(V22:X22)</f>
        <v>0</v>
      </c>
      <c r="Z22" s="70">
        <v>200</v>
      </c>
      <c r="AA22" s="14">
        <f>Y22+Z22</f>
        <v>200</v>
      </c>
      <c r="AB22" s="620">
        <f>IFERROR(AA22/O22,0)</f>
        <v>1</v>
      </c>
      <c r="AC22" s="922"/>
      <c r="AD22" s="4"/>
      <c r="XFD22" s="923"/>
    </row>
    <row r="23" spans="1:30 16384:16384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4">
        <f>SUM(D23:F23)</f>
        <v>0</v>
      </c>
      <c r="H23" s="71"/>
      <c r="I23" s="23">
        <f>G23+H23</f>
        <v>0</v>
      </c>
      <c r="J23" s="670"/>
      <c r="K23" s="669"/>
      <c r="L23" s="668"/>
      <c r="M23" s="667">
        <f>SUM(J23:L23)</f>
        <v>0</v>
      </c>
      <c r="N23" s="666"/>
      <c r="O23" s="619">
        <f>M23+N23</f>
        <v>0</v>
      </c>
      <c r="P23" s="21"/>
      <c r="Q23" s="22"/>
      <c r="R23" s="62"/>
      <c r="S23" s="65">
        <f>SUM(P23:R23)</f>
        <v>0</v>
      </c>
      <c r="T23" s="71"/>
      <c r="U23" s="23">
        <f>S23+T23</f>
        <v>0</v>
      </c>
      <c r="V23" s="21"/>
      <c r="W23" s="22"/>
      <c r="X23" s="62"/>
      <c r="Y23" s="65">
        <f>SUM(V23:X23)</f>
        <v>0</v>
      </c>
      <c r="Z23" s="71"/>
      <c r="AA23" s="23">
        <f>Y23+Z23</f>
        <v>0</v>
      </c>
      <c r="AB23" s="618">
        <f>IFERROR(AA23/O23,0)</f>
        <v>0</v>
      </c>
      <c r="AC23" s="922"/>
      <c r="AD23" s="4"/>
      <c r="XFD23" s="923"/>
    </row>
    <row r="24" spans="1:30 16384:16384" ht="15.75" thickBot="1" x14ac:dyDescent="0.3">
      <c r="A24" s="5"/>
      <c r="B24" s="24" t="s">
        <v>17</v>
      </c>
      <c r="C24" s="25" t="s">
        <v>8</v>
      </c>
      <c r="D24" s="26">
        <f>SUM(D15:D21)</f>
        <v>8382.1</v>
      </c>
      <c r="E24" s="27">
        <f>SUM(E15:E21)</f>
        <v>64538.2</v>
      </c>
      <c r="F24" s="27">
        <f>SUM(F15:F21)</f>
        <v>4269.7</v>
      </c>
      <c r="G24" s="28">
        <f>SUM(D24:F24)</f>
        <v>77190</v>
      </c>
      <c r="H24" s="29">
        <f>SUM(H15:H21)</f>
        <v>293.59999999999997</v>
      </c>
      <c r="I24" s="29">
        <f>SUM(I15:I21)</f>
        <v>77483.599999999991</v>
      </c>
      <c r="J24" s="665">
        <f>SUM(J15:J21)</f>
        <v>9476.5</v>
      </c>
      <c r="K24" s="664">
        <f>SUM(K15:K21)</f>
        <v>63952.5</v>
      </c>
      <c r="L24" s="664">
        <f>SUM(L15:L21)</f>
        <v>3645.5</v>
      </c>
      <c r="M24" s="663">
        <f>SUM(J24:L24)</f>
        <v>77074.5</v>
      </c>
      <c r="N24" s="644">
        <f>SUM(N15:N21)</f>
        <v>220</v>
      </c>
      <c r="O24" s="644">
        <f>SUM(O15:O21)</f>
        <v>77294.5</v>
      </c>
      <c r="P24" s="26">
        <f>SUM(P15:P21)</f>
        <v>4240.2550000000001</v>
      </c>
      <c r="Q24" s="27">
        <f>SUM(Q15:Q21)</f>
        <v>29937.200000000001</v>
      </c>
      <c r="R24" s="27">
        <f>SUM(R15:R21)</f>
        <v>2305.5149999999999</v>
      </c>
      <c r="S24" s="28">
        <f>SUM(P24:R24)</f>
        <v>36482.97</v>
      </c>
      <c r="T24" s="29">
        <f>SUM(T15:T21)</f>
        <v>160.39999999999998</v>
      </c>
      <c r="U24" s="29">
        <f>SUM(U15:U21)</f>
        <v>36643.370000000003</v>
      </c>
      <c r="V24" s="26">
        <f>SUM(V15:V21)</f>
        <v>9850.5999999999985</v>
      </c>
      <c r="W24" s="27">
        <f>SUM(W15:W21)</f>
        <v>64000</v>
      </c>
      <c r="X24" s="27">
        <f>SUM(X15:X21)</f>
        <v>3645.5</v>
      </c>
      <c r="Y24" s="28">
        <f>SUM(V24:X24)</f>
        <v>77496.100000000006</v>
      </c>
      <c r="Z24" s="29">
        <f>SUM(Z15:Z21)</f>
        <v>200</v>
      </c>
      <c r="AA24" s="29">
        <f>SUM(AA15:AA21)</f>
        <v>77696.100000000006</v>
      </c>
      <c r="AB24" s="643">
        <f>IFERROR(AA24/O24,0)</f>
        <v>1.0051957125021833</v>
      </c>
      <c r="AC24" s="922"/>
      <c r="AD24" s="4"/>
      <c r="XFD24" s="923"/>
    </row>
    <row r="25" spans="1:30 16384:16384" ht="15.75" customHeight="1" thickBot="1" x14ac:dyDescent="0.3">
      <c r="A25" s="5"/>
      <c r="B25" s="30"/>
      <c r="C25" s="31"/>
      <c r="D25" s="211" t="s">
        <v>68</v>
      </c>
      <c r="E25" s="212"/>
      <c r="F25" s="212"/>
      <c r="G25" s="213"/>
      <c r="H25" s="213"/>
      <c r="I25" s="214"/>
      <c r="J25" s="642" t="s">
        <v>68</v>
      </c>
      <c r="K25" s="641"/>
      <c r="L25" s="641"/>
      <c r="M25" s="640"/>
      <c r="N25" s="640"/>
      <c r="O25" s="639"/>
      <c r="P25" s="211" t="s">
        <v>68</v>
      </c>
      <c r="Q25" s="212"/>
      <c r="R25" s="212"/>
      <c r="S25" s="213"/>
      <c r="T25" s="213"/>
      <c r="U25" s="214"/>
      <c r="V25" s="211" t="s">
        <v>68</v>
      </c>
      <c r="W25" s="212"/>
      <c r="X25" s="212"/>
      <c r="Y25" s="213"/>
      <c r="Z25" s="213"/>
      <c r="AA25" s="214"/>
      <c r="AB25" s="638" t="s">
        <v>176</v>
      </c>
      <c r="AC25" s="922"/>
      <c r="AD25" s="4"/>
      <c r="XFD25" s="923"/>
    </row>
    <row r="26" spans="1:30 16384:16384" ht="15.75" thickBot="1" x14ac:dyDescent="0.3">
      <c r="A26" s="5"/>
      <c r="B26" s="217" t="s">
        <v>37</v>
      </c>
      <c r="C26" s="176" t="s">
        <v>38</v>
      </c>
      <c r="D26" s="201" t="s">
        <v>69</v>
      </c>
      <c r="E26" s="202"/>
      <c r="F26" s="202"/>
      <c r="G26" s="203" t="s">
        <v>64</v>
      </c>
      <c r="H26" s="205" t="s">
        <v>67</v>
      </c>
      <c r="I26" s="207" t="s">
        <v>68</v>
      </c>
      <c r="J26" s="637" t="s">
        <v>69</v>
      </c>
      <c r="K26" s="636"/>
      <c r="L26" s="636"/>
      <c r="M26" s="635" t="s">
        <v>64</v>
      </c>
      <c r="N26" s="634" t="s">
        <v>67</v>
      </c>
      <c r="O26" s="633" t="s">
        <v>68</v>
      </c>
      <c r="P26" s="201" t="s">
        <v>69</v>
      </c>
      <c r="Q26" s="202"/>
      <c r="R26" s="202"/>
      <c r="S26" s="203" t="s">
        <v>64</v>
      </c>
      <c r="T26" s="205" t="s">
        <v>67</v>
      </c>
      <c r="U26" s="207" t="s">
        <v>68</v>
      </c>
      <c r="V26" s="201" t="s">
        <v>69</v>
      </c>
      <c r="W26" s="202"/>
      <c r="X26" s="202"/>
      <c r="Y26" s="203" t="s">
        <v>64</v>
      </c>
      <c r="Z26" s="205" t="s">
        <v>67</v>
      </c>
      <c r="AA26" s="207" t="s">
        <v>68</v>
      </c>
      <c r="AB26" s="632"/>
      <c r="AC26" s="922"/>
      <c r="AD26" s="4"/>
      <c r="XFD26" s="923"/>
    </row>
    <row r="27" spans="1:30 16384:16384" ht="15.75" thickBot="1" x14ac:dyDescent="0.3">
      <c r="A27" s="5"/>
      <c r="B27" s="218"/>
      <c r="C27" s="177"/>
      <c r="D27" s="32" t="s">
        <v>54</v>
      </c>
      <c r="E27" s="33" t="s">
        <v>55</v>
      </c>
      <c r="F27" s="34" t="s">
        <v>56</v>
      </c>
      <c r="G27" s="204"/>
      <c r="H27" s="206"/>
      <c r="I27" s="208"/>
      <c r="J27" s="631" t="s">
        <v>54</v>
      </c>
      <c r="K27" s="630" t="s">
        <v>55</v>
      </c>
      <c r="L27" s="629" t="s">
        <v>56</v>
      </c>
      <c r="M27" s="628"/>
      <c r="N27" s="627"/>
      <c r="O27" s="626"/>
      <c r="P27" s="32" t="s">
        <v>54</v>
      </c>
      <c r="Q27" s="33" t="s">
        <v>55</v>
      </c>
      <c r="R27" s="34" t="s">
        <v>56</v>
      </c>
      <c r="S27" s="204"/>
      <c r="T27" s="206"/>
      <c r="U27" s="208"/>
      <c r="V27" s="32" t="s">
        <v>54</v>
      </c>
      <c r="W27" s="33" t="s">
        <v>55</v>
      </c>
      <c r="X27" s="34" t="s">
        <v>56</v>
      </c>
      <c r="Y27" s="204"/>
      <c r="Z27" s="206"/>
      <c r="AA27" s="208"/>
      <c r="AB27" s="625"/>
      <c r="AC27" s="922"/>
      <c r="AD27" s="4"/>
      <c r="XFD27" s="923"/>
    </row>
    <row r="28" spans="1:30 16384:16384" x14ac:dyDescent="0.25">
      <c r="A28" s="5"/>
      <c r="B28" s="35" t="s">
        <v>19</v>
      </c>
      <c r="C28" s="36" t="s">
        <v>10</v>
      </c>
      <c r="D28" s="72">
        <v>1113.9000000000001</v>
      </c>
      <c r="E28" s="72"/>
      <c r="F28" s="72"/>
      <c r="G28" s="73">
        <f>SUM(D28:F28)</f>
        <v>1113.9000000000001</v>
      </c>
      <c r="H28" s="73"/>
      <c r="I28" s="37">
        <f>G28+H28</f>
        <v>1113.9000000000001</v>
      </c>
      <c r="J28" s="662">
        <v>870</v>
      </c>
      <c r="K28" s="661"/>
      <c r="L28" s="661"/>
      <c r="M28" s="660">
        <f>SUM(J28:L28)</f>
        <v>870</v>
      </c>
      <c r="N28" s="660"/>
      <c r="O28" s="624">
        <f>M28+N28</f>
        <v>870</v>
      </c>
      <c r="P28" s="80">
        <v>170.5</v>
      </c>
      <c r="Q28" s="72"/>
      <c r="R28" s="72"/>
      <c r="S28" s="73">
        <f>SUM(P28:R28)</f>
        <v>170.5</v>
      </c>
      <c r="T28" s="73"/>
      <c r="U28" s="37">
        <f>S28+T28</f>
        <v>170.5</v>
      </c>
      <c r="V28" s="80">
        <v>1050</v>
      </c>
      <c r="W28" s="72"/>
      <c r="X28" s="72"/>
      <c r="Y28" s="73">
        <f>SUM(V28:X28)</f>
        <v>1050</v>
      </c>
      <c r="Z28" s="73"/>
      <c r="AA28" s="37">
        <f>Y28+Z28</f>
        <v>1050</v>
      </c>
      <c r="AB28" s="620">
        <f>IFERROR(AA28/O28,0)</f>
        <v>1.2068965517241379</v>
      </c>
      <c r="AC28" s="922"/>
      <c r="AD28" s="4"/>
      <c r="XFD28" s="923"/>
    </row>
    <row r="29" spans="1:30 16384:16384" x14ac:dyDescent="0.25">
      <c r="A29" s="5"/>
      <c r="B29" s="15" t="s">
        <v>20</v>
      </c>
      <c r="C29" s="38" t="s">
        <v>12</v>
      </c>
      <c r="D29" s="623">
        <v>1156.4000000000001</v>
      </c>
      <c r="E29" s="74">
        <v>418.6</v>
      </c>
      <c r="F29" s="74">
        <v>2148</v>
      </c>
      <c r="G29" s="75">
        <f>SUM(D29:F29)</f>
        <v>3723</v>
      </c>
      <c r="H29" s="76"/>
      <c r="I29" s="14">
        <f>G29+H29</f>
        <v>3723</v>
      </c>
      <c r="J29" s="659">
        <v>930.2</v>
      </c>
      <c r="K29" s="658">
        <v>670.2</v>
      </c>
      <c r="L29" s="658">
        <v>2400</v>
      </c>
      <c r="M29" s="654">
        <f>SUM(J29:L29)</f>
        <v>4000.4</v>
      </c>
      <c r="N29" s="657">
        <v>20</v>
      </c>
      <c r="O29" s="621">
        <f>M29+N29</f>
        <v>4020.4</v>
      </c>
      <c r="P29" s="81">
        <v>162</v>
      </c>
      <c r="Q29" s="74">
        <v>277.8</v>
      </c>
      <c r="R29" s="74">
        <v>1332.9</v>
      </c>
      <c r="S29" s="75">
        <f>SUM(P29:R29)</f>
        <v>1772.7</v>
      </c>
      <c r="T29" s="76"/>
      <c r="U29" s="14">
        <f>S29+T29</f>
        <v>1772.7</v>
      </c>
      <c r="V29" s="81">
        <f>830+30.7</f>
        <v>860.7</v>
      </c>
      <c r="W29" s="74">
        <v>680</v>
      </c>
      <c r="X29" s="74">
        <v>2500</v>
      </c>
      <c r="Y29" s="75">
        <f>SUM(V29:X29)</f>
        <v>4040.7</v>
      </c>
      <c r="Z29" s="76">
        <v>20</v>
      </c>
      <c r="AA29" s="14">
        <f>Y29+Z29</f>
        <v>4060.7</v>
      </c>
      <c r="AB29" s="620">
        <f>IFERROR(AA29/O29,0)</f>
        <v>1.0100238782210724</v>
      </c>
      <c r="AC29" s="922"/>
      <c r="AD29" s="4"/>
      <c r="XFD29" s="923"/>
    </row>
    <row r="30" spans="1:30 16384:16384" x14ac:dyDescent="0.25">
      <c r="A30" s="5"/>
      <c r="B30" s="15" t="s">
        <v>22</v>
      </c>
      <c r="C30" s="39" t="s">
        <v>14</v>
      </c>
      <c r="D30" s="77">
        <v>2863.7</v>
      </c>
      <c r="E30" s="77"/>
      <c r="F30" s="77"/>
      <c r="G30" s="75">
        <f>SUM(D30:F30)</f>
        <v>2863.7</v>
      </c>
      <c r="H30" s="75">
        <v>7.7</v>
      </c>
      <c r="I30" s="14">
        <f>G30+H30</f>
        <v>2871.3999999999996</v>
      </c>
      <c r="J30" s="656">
        <v>3420</v>
      </c>
      <c r="K30" s="486"/>
      <c r="L30" s="655">
        <v>80</v>
      </c>
      <c r="M30" s="654">
        <f>SUM(J30:L30)</f>
        <v>3500</v>
      </c>
      <c r="N30" s="654">
        <v>60</v>
      </c>
      <c r="O30" s="621">
        <f>M30+N30</f>
        <v>3560</v>
      </c>
      <c r="P30" s="82">
        <v>1890.5</v>
      </c>
      <c r="Q30" s="77"/>
      <c r="R30" s="77"/>
      <c r="S30" s="75">
        <f>SUM(P30:R30)</f>
        <v>1890.5</v>
      </c>
      <c r="T30" s="75">
        <v>5.7</v>
      </c>
      <c r="U30" s="14">
        <f>S30+T30</f>
        <v>1896.2</v>
      </c>
      <c r="V30" s="82">
        <v>3100</v>
      </c>
      <c r="W30" s="77"/>
      <c r="X30" s="77"/>
      <c r="Y30" s="75">
        <f>SUM(V30:X30)</f>
        <v>3100</v>
      </c>
      <c r="Z30" s="75">
        <v>20</v>
      </c>
      <c r="AA30" s="14">
        <f>Y30+Z30</f>
        <v>3120</v>
      </c>
      <c r="AB30" s="620">
        <f>IFERROR(AA30/O30,0)</f>
        <v>0.8764044943820225</v>
      </c>
      <c r="AC30" s="922"/>
      <c r="AD30" s="4"/>
      <c r="XFD30" s="923"/>
    </row>
    <row r="31" spans="1:30 16384:16384" x14ac:dyDescent="0.25">
      <c r="A31" s="5"/>
      <c r="B31" s="15" t="s">
        <v>24</v>
      </c>
      <c r="C31" s="39" t="s">
        <v>16</v>
      </c>
      <c r="D31" s="77">
        <v>1416.2</v>
      </c>
      <c r="E31" s="77">
        <v>1011.3</v>
      </c>
      <c r="F31" s="77"/>
      <c r="G31" s="75">
        <f>SUM(D31:F31)</f>
        <v>2427.5</v>
      </c>
      <c r="H31" s="75"/>
      <c r="I31" s="14">
        <f>G31+H31</f>
        <v>2427.5</v>
      </c>
      <c r="J31" s="656">
        <v>1526.4</v>
      </c>
      <c r="K31" s="655">
        <v>1655</v>
      </c>
      <c r="L31" s="655"/>
      <c r="M31" s="654">
        <f>SUM(J31:L31)</f>
        <v>3181.4</v>
      </c>
      <c r="N31" s="654"/>
      <c r="O31" s="621">
        <f>M31+N31</f>
        <v>3181.4</v>
      </c>
      <c r="P31" s="82">
        <v>753.9</v>
      </c>
      <c r="Q31" s="77">
        <v>688.6</v>
      </c>
      <c r="R31" s="77">
        <v>5</v>
      </c>
      <c r="S31" s="75">
        <f>SUM(P31:R31)</f>
        <v>1447.5</v>
      </c>
      <c r="T31" s="75"/>
      <c r="U31" s="14">
        <f>S31+T31</f>
        <v>1447.5</v>
      </c>
      <c r="V31" s="82">
        <f>1500+407.8</f>
        <v>1907.8</v>
      </c>
      <c r="W31" s="77">
        <v>1400</v>
      </c>
      <c r="X31" s="77">
        <v>5</v>
      </c>
      <c r="Y31" s="75">
        <f>SUM(V31:X31)</f>
        <v>3312.8</v>
      </c>
      <c r="Z31" s="75"/>
      <c r="AA31" s="14">
        <f>Y31+Z31</f>
        <v>3312.8</v>
      </c>
      <c r="AB31" s="620">
        <f>IFERROR(AA31/O31,0)</f>
        <v>1.0413025711950714</v>
      </c>
      <c r="AC31" s="922"/>
      <c r="AD31" s="4"/>
      <c r="XFD31" s="923"/>
    </row>
    <row r="32" spans="1:30 16384:16384" x14ac:dyDescent="0.25">
      <c r="A32" s="5"/>
      <c r="B32" s="15" t="s">
        <v>26</v>
      </c>
      <c r="C32" s="39" t="s">
        <v>18</v>
      </c>
      <c r="D32" s="622">
        <f>D33+D34</f>
        <v>396.20000000000005</v>
      </c>
      <c r="E32" s="924">
        <f>E33+E34</f>
        <v>44958.8</v>
      </c>
      <c r="F32" s="622">
        <f>F33+F34</f>
        <v>416</v>
      </c>
      <c r="G32" s="75">
        <f>SUM(D32:F32)</f>
        <v>45771</v>
      </c>
      <c r="H32" s="75"/>
      <c r="I32" s="14">
        <f>G32+H32</f>
        <v>45771</v>
      </c>
      <c r="J32" s="656">
        <f>J33+J34</f>
        <v>462.3</v>
      </c>
      <c r="K32" s="656">
        <f>K33+K34</f>
        <v>45087</v>
      </c>
      <c r="L32" s="655"/>
      <c r="M32" s="654">
        <f>SUM(J32:L32)</f>
        <v>45549.3</v>
      </c>
      <c r="N32" s="654"/>
      <c r="O32" s="621">
        <f>M32+N32</f>
        <v>45549.3</v>
      </c>
      <c r="P32" s="83">
        <f>P33+P34</f>
        <v>135.9</v>
      </c>
      <c r="Q32" s="83">
        <f>Q33+Q34</f>
        <v>21491.200000000001</v>
      </c>
      <c r="R32" s="77"/>
      <c r="S32" s="75">
        <f>SUM(P32:R32)</f>
        <v>21627.100000000002</v>
      </c>
      <c r="T32" s="75"/>
      <c r="U32" s="14">
        <f>S32+T32</f>
        <v>21627.100000000002</v>
      </c>
      <c r="V32" s="83">
        <f>V33+V34</f>
        <v>419.90000000000003</v>
      </c>
      <c r="W32" s="83">
        <f>W33+W34</f>
        <v>45087</v>
      </c>
      <c r="X32" s="77"/>
      <c r="Y32" s="75">
        <f>SUM(V32:X32)</f>
        <v>45506.9</v>
      </c>
      <c r="Z32" s="75"/>
      <c r="AA32" s="14">
        <f>Y32+Z32</f>
        <v>45506.9</v>
      </c>
      <c r="AB32" s="620">
        <f>IFERROR(AA32/O32,0)</f>
        <v>0.99906914046977668</v>
      </c>
      <c r="AC32" s="922"/>
      <c r="AD32" s="4"/>
      <c r="XFD32" s="923"/>
    </row>
    <row r="33" spans="1:30 16384:16384" x14ac:dyDescent="0.25">
      <c r="A33" s="5"/>
      <c r="B33" s="15" t="s">
        <v>28</v>
      </c>
      <c r="C33" s="40" t="s">
        <v>42</v>
      </c>
      <c r="D33" s="622">
        <v>154.30000000000001</v>
      </c>
      <c r="E33" s="77">
        <v>43727.8</v>
      </c>
      <c r="F33" s="77">
        <v>147.30000000000001</v>
      </c>
      <c r="G33" s="75">
        <f>SUM(D33:F33)</f>
        <v>44029.400000000009</v>
      </c>
      <c r="H33" s="75"/>
      <c r="I33" s="14">
        <f>G33+H33</f>
        <v>44029.400000000009</v>
      </c>
      <c r="J33" s="656"/>
      <c r="K33" s="655">
        <v>44477</v>
      </c>
      <c r="L33" s="655"/>
      <c r="M33" s="654">
        <f>SUM(J33:L33)</f>
        <v>44477</v>
      </c>
      <c r="N33" s="654"/>
      <c r="O33" s="621">
        <f>M33+N33</f>
        <v>44477</v>
      </c>
      <c r="P33" s="83"/>
      <c r="Q33" s="77">
        <v>21075.5</v>
      </c>
      <c r="R33" s="77"/>
      <c r="S33" s="75">
        <f>SUM(P33:R33)</f>
        <v>21075.5</v>
      </c>
      <c r="T33" s="75"/>
      <c r="U33" s="14">
        <f>S33+T33</f>
        <v>21075.5</v>
      </c>
      <c r="V33" s="83"/>
      <c r="W33" s="622">
        <v>44477</v>
      </c>
      <c r="X33" s="77"/>
      <c r="Y33" s="75">
        <f>SUM(V33:X33)</f>
        <v>44477</v>
      </c>
      <c r="Z33" s="75"/>
      <c r="AA33" s="14">
        <f>Y33+Z33</f>
        <v>44477</v>
      </c>
      <c r="AB33" s="620">
        <f>IFERROR(AA33/O33,0)</f>
        <v>1</v>
      </c>
      <c r="AC33" s="922"/>
      <c r="AD33" s="4"/>
      <c r="XFD33" s="923"/>
    </row>
    <row r="34" spans="1:30 16384:16384" x14ac:dyDescent="0.25">
      <c r="A34" s="5"/>
      <c r="B34" s="15" t="s">
        <v>30</v>
      </c>
      <c r="C34" s="41" t="s">
        <v>21</v>
      </c>
      <c r="D34" s="622">
        <v>241.9</v>
      </c>
      <c r="E34" s="77">
        <v>1231</v>
      </c>
      <c r="F34" s="77">
        <v>268.7</v>
      </c>
      <c r="G34" s="75">
        <f>SUM(D34:F34)</f>
        <v>1741.6000000000001</v>
      </c>
      <c r="H34" s="75"/>
      <c r="I34" s="14">
        <f>G34+H34</f>
        <v>1741.6000000000001</v>
      </c>
      <c r="J34" s="656">
        <v>462.3</v>
      </c>
      <c r="K34" s="655">
        <v>610</v>
      </c>
      <c r="L34" s="655"/>
      <c r="M34" s="654">
        <f>SUM(J34:L34)</f>
        <v>1072.3</v>
      </c>
      <c r="N34" s="654"/>
      <c r="O34" s="621">
        <f>M34+N34</f>
        <v>1072.3</v>
      </c>
      <c r="P34" s="83">
        <v>135.9</v>
      </c>
      <c r="Q34" s="77">
        <v>415.7</v>
      </c>
      <c r="R34" s="77"/>
      <c r="S34" s="75">
        <f>SUM(P34:R34)</f>
        <v>551.6</v>
      </c>
      <c r="T34" s="75"/>
      <c r="U34" s="14">
        <f>S34+T34</f>
        <v>551.6</v>
      </c>
      <c r="V34" s="83">
        <f>2.4*12+391.1</f>
        <v>419.90000000000003</v>
      </c>
      <c r="W34" s="77">
        <v>610</v>
      </c>
      <c r="X34" s="77"/>
      <c r="Y34" s="75">
        <f>SUM(V34:X34)</f>
        <v>1029.9000000000001</v>
      </c>
      <c r="Z34" s="75"/>
      <c r="AA34" s="14">
        <f>Y34+Z34</f>
        <v>1029.9000000000001</v>
      </c>
      <c r="AB34" s="620">
        <f>IFERROR(AA34/O34,0)</f>
        <v>0.96045882682085248</v>
      </c>
      <c r="AC34" s="922"/>
      <c r="AD34" s="4"/>
      <c r="XFD34" s="923"/>
    </row>
    <row r="35" spans="1:30 16384:16384" x14ac:dyDescent="0.25">
      <c r="A35" s="5"/>
      <c r="B35" s="15" t="s">
        <v>32</v>
      </c>
      <c r="C35" s="39" t="s">
        <v>23</v>
      </c>
      <c r="D35" s="622">
        <v>51.8</v>
      </c>
      <c r="E35" s="77">
        <v>14640.2</v>
      </c>
      <c r="F35" s="77">
        <v>49.8</v>
      </c>
      <c r="G35" s="75">
        <f>SUM(D35:F35)</f>
        <v>14741.8</v>
      </c>
      <c r="H35" s="75"/>
      <c r="I35" s="14">
        <f>G35+H35</f>
        <v>14741.8</v>
      </c>
      <c r="J35" s="656"/>
      <c r="K35" s="655">
        <v>15033.2</v>
      </c>
      <c r="L35" s="655"/>
      <c r="M35" s="654">
        <f>SUM(J35:L35)</f>
        <v>15033.2</v>
      </c>
      <c r="N35" s="654"/>
      <c r="O35" s="621">
        <f>M35+N35</f>
        <v>15033.2</v>
      </c>
      <c r="P35" s="83"/>
      <c r="Q35" s="77">
        <v>6942.4</v>
      </c>
      <c r="R35" s="77"/>
      <c r="S35" s="75">
        <f>SUM(P35:R35)</f>
        <v>6942.4</v>
      </c>
      <c r="T35" s="75"/>
      <c r="U35" s="14">
        <f>S35+T35</f>
        <v>6942.4</v>
      </c>
      <c r="V35" s="83"/>
      <c r="W35" s="77">
        <v>15033</v>
      </c>
      <c r="X35" s="77"/>
      <c r="Y35" s="75">
        <f>SUM(V35:X35)</f>
        <v>15033</v>
      </c>
      <c r="Z35" s="75"/>
      <c r="AA35" s="14">
        <f>Y35+Z35</f>
        <v>15033</v>
      </c>
      <c r="AB35" s="620">
        <f>IFERROR(AA35/O35,0)</f>
        <v>0.99998669611260405</v>
      </c>
      <c r="AC35" s="922"/>
      <c r="AD35" s="4"/>
      <c r="XFD35" s="923"/>
    </row>
    <row r="36" spans="1:30 16384:16384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>SUM(D36:F36)</f>
        <v>0</v>
      </c>
      <c r="H36" s="75"/>
      <c r="I36" s="14">
        <f>G36+H36</f>
        <v>0</v>
      </c>
      <c r="J36" s="656"/>
      <c r="K36" s="655"/>
      <c r="L36" s="655"/>
      <c r="M36" s="654">
        <f>SUM(J36:L36)</f>
        <v>0</v>
      </c>
      <c r="N36" s="654"/>
      <c r="O36" s="621">
        <f>M36+N36</f>
        <v>0</v>
      </c>
      <c r="P36" s="82"/>
      <c r="Q36" s="77"/>
      <c r="R36" s="77"/>
      <c r="S36" s="75">
        <f>SUM(P36:R36)</f>
        <v>0</v>
      </c>
      <c r="T36" s="75"/>
      <c r="U36" s="14">
        <f>S36+T36</f>
        <v>0</v>
      </c>
      <c r="V36" s="82"/>
      <c r="W36" s="77"/>
      <c r="X36" s="77"/>
      <c r="Y36" s="75">
        <f>SUM(V36:X36)</f>
        <v>0</v>
      </c>
      <c r="Z36" s="75"/>
      <c r="AA36" s="14">
        <f>Y36+Z36</f>
        <v>0</v>
      </c>
      <c r="AB36" s="620">
        <f>IFERROR(AA36/O36,0)</f>
        <v>0</v>
      </c>
      <c r="AC36" s="922"/>
      <c r="AD36" s="4"/>
      <c r="XFD36" s="923"/>
    </row>
    <row r="37" spans="1:30 16384:16384" x14ac:dyDescent="0.25">
      <c r="A37" s="5"/>
      <c r="B37" s="15" t="s">
        <v>34</v>
      </c>
      <c r="C37" s="39" t="s">
        <v>27</v>
      </c>
      <c r="D37" s="77">
        <v>1229.8</v>
      </c>
      <c r="E37" s="77"/>
      <c r="F37" s="77">
        <v>895.5</v>
      </c>
      <c r="G37" s="75">
        <f>SUM(D37:F37)</f>
        <v>2125.3000000000002</v>
      </c>
      <c r="H37" s="75"/>
      <c r="I37" s="14">
        <f>G37+H37</f>
        <v>2125.3000000000002</v>
      </c>
      <c r="J37" s="656">
        <v>1200</v>
      </c>
      <c r="K37" s="655"/>
      <c r="L37" s="655">
        <v>895.5</v>
      </c>
      <c r="M37" s="654">
        <f>SUM(J37:L37)</f>
        <v>2095.5</v>
      </c>
      <c r="N37" s="654"/>
      <c r="O37" s="621">
        <f>M37+N37</f>
        <v>2095.5</v>
      </c>
      <c r="P37" s="82">
        <v>648.20000000000005</v>
      </c>
      <c r="Q37" s="77"/>
      <c r="R37" s="77">
        <v>447.8</v>
      </c>
      <c r="S37" s="75">
        <f>SUM(P37:R37)</f>
        <v>1096</v>
      </c>
      <c r="T37" s="75"/>
      <c r="U37" s="14">
        <f>S37+T37</f>
        <v>1096</v>
      </c>
      <c r="V37" s="82">
        <v>1500</v>
      </c>
      <c r="W37" s="77"/>
      <c r="X37" s="77">
        <v>895.5</v>
      </c>
      <c r="Y37" s="75">
        <f>SUM(V37:X37)</f>
        <v>2395.5</v>
      </c>
      <c r="Z37" s="75"/>
      <c r="AA37" s="14">
        <f>Y37+Z37</f>
        <v>2395.5</v>
      </c>
      <c r="AB37" s="620">
        <f>IFERROR(AA37/O37,0)</f>
        <v>1.1431639226914818</v>
      </c>
      <c r="AC37" s="922"/>
      <c r="AD37" s="4"/>
      <c r="XFD37" s="923"/>
    </row>
    <row r="38" spans="1:30 16384:16384" ht="15.75" thickBot="1" x14ac:dyDescent="0.3">
      <c r="A38" s="5"/>
      <c r="B38" s="20" t="s">
        <v>35</v>
      </c>
      <c r="C38" s="102" t="s">
        <v>29</v>
      </c>
      <c r="D38" s="311">
        <v>1056</v>
      </c>
      <c r="E38" s="311">
        <f>3509.3</f>
        <v>3509.3</v>
      </c>
      <c r="F38" s="78">
        <v>30.4</v>
      </c>
      <c r="G38" s="75">
        <f>SUM(D38:F38)</f>
        <v>4595.7</v>
      </c>
      <c r="H38" s="79"/>
      <c r="I38" s="23">
        <f>G38+H38</f>
        <v>4595.7</v>
      </c>
      <c r="J38" s="653">
        <v>1067.5999999999999</v>
      </c>
      <c r="K38" s="652">
        <v>1507.1</v>
      </c>
      <c r="L38" s="652">
        <v>270</v>
      </c>
      <c r="M38" s="651">
        <f>SUM(J38:L38)</f>
        <v>2844.7</v>
      </c>
      <c r="N38" s="651"/>
      <c r="O38" s="619">
        <f>M38+N38</f>
        <v>2844.7</v>
      </c>
      <c r="P38" s="84">
        <v>169.4</v>
      </c>
      <c r="Q38" s="78">
        <v>537.20000000000005</v>
      </c>
      <c r="R38" s="78">
        <v>8.9</v>
      </c>
      <c r="S38" s="79">
        <f>SUM(P38:R38)</f>
        <v>715.5</v>
      </c>
      <c r="T38" s="79"/>
      <c r="U38" s="23">
        <f>S38+T38</f>
        <v>715.5</v>
      </c>
      <c r="V38" s="84">
        <f>870+142.2</f>
        <v>1012.2</v>
      </c>
      <c r="W38" s="78">
        <v>1800</v>
      </c>
      <c r="X38" s="78">
        <v>270</v>
      </c>
      <c r="Y38" s="79">
        <f>SUM(V38:X38)</f>
        <v>3082.2</v>
      </c>
      <c r="Z38" s="79"/>
      <c r="AA38" s="23">
        <f>Y38+Z38</f>
        <v>3082.2</v>
      </c>
      <c r="AB38" s="618">
        <f>IFERROR(AA38/O38,0)</f>
        <v>1.0834885928217386</v>
      </c>
      <c r="AC38" s="922"/>
      <c r="AD38" s="4"/>
      <c r="XFD38" s="923"/>
    </row>
    <row r="39" spans="1:30 16384:16384" ht="15.75" thickBot="1" x14ac:dyDescent="0.3">
      <c r="A39" s="5"/>
      <c r="B39" s="24" t="s">
        <v>48</v>
      </c>
      <c r="C39" s="103" t="s">
        <v>31</v>
      </c>
      <c r="D39" s="42">
        <f>SUM(D35:D38)+SUM(D28:D32)</f>
        <v>9284</v>
      </c>
      <c r="E39" s="42">
        <f>SUM(E35:E38)+SUM(E28:E32)</f>
        <v>64538.200000000004</v>
      </c>
      <c r="F39" s="42">
        <f>SUM(F35:F38)+SUM(F28:F32)</f>
        <v>3539.7</v>
      </c>
      <c r="G39" s="144">
        <f>SUM(D39:F39)</f>
        <v>77361.900000000009</v>
      </c>
      <c r="H39" s="43">
        <f>SUM(H28:H32)+SUM(H35:H38)</f>
        <v>7.7</v>
      </c>
      <c r="I39" s="44">
        <f>SUM(I35:I38)+SUM(I28:I32)</f>
        <v>77369.600000000006</v>
      </c>
      <c r="J39" s="650">
        <f>SUM(J35:J38)+SUM(J28:J32)</f>
        <v>9476.5</v>
      </c>
      <c r="K39" s="650">
        <f>SUM(K35:K38)+SUM(K28:K32)</f>
        <v>63952.5</v>
      </c>
      <c r="L39" s="650">
        <f>SUM(L35:L38)+SUM(L28:L32)</f>
        <v>3645.5</v>
      </c>
      <c r="M39" s="649">
        <f>SUM(J39:L39)</f>
        <v>77074.5</v>
      </c>
      <c r="N39" s="648">
        <f>SUM(N28:N32)+SUM(N35:N38)</f>
        <v>80</v>
      </c>
      <c r="O39" s="617">
        <f>SUM(O35:O38)+SUM(O28:O32)</f>
        <v>77154.5</v>
      </c>
      <c r="P39" s="42">
        <f>SUM(P35:P38)+SUM(P28:P32)</f>
        <v>3930.4</v>
      </c>
      <c r="Q39" s="42">
        <f>SUM(Q35:Q38)+SUM(Q28:Q32)</f>
        <v>29937.200000000001</v>
      </c>
      <c r="R39" s="42">
        <f>SUM(R35:R38)+SUM(R28:R32)</f>
        <v>1794.6000000000001</v>
      </c>
      <c r="S39" s="144">
        <f>SUM(P39:R39)</f>
        <v>35662.199999999997</v>
      </c>
      <c r="T39" s="43">
        <f>SUM(T28:T32)+SUM(T35:T38)</f>
        <v>5.7</v>
      </c>
      <c r="U39" s="44">
        <f>SUM(U35:U38)+SUM(U28:U32)</f>
        <v>35667.9</v>
      </c>
      <c r="V39" s="42">
        <f>SUM(V35:V38)+SUM(V28:V32)</f>
        <v>9850.5999999999985</v>
      </c>
      <c r="W39" s="42">
        <f>SUM(W35:W38)+SUM(W28:W32)</f>
        <v>64000</v>
      </c>
      <c r="X39" s="42">
        <f>SUM(X35:X38)+SUM(X28:X32)</f>
        <v>3670.5</v>
      </c>
      <c r="Y39" s="144">
        <f>SUM(V39:X39)</f>
        <v>77521.100000000006</v>
      </c>
      <c r="Z39" s="43">
        <f>SUM(Z28:Z32)+SUM(Z35:Z38)</f>
        <v>40</v>
      </c>
      <c r="AA39" s="44">
        <f>SUM(AA35:AA38)+SUM(AA28:AA32)</f>
        <v>77561.100000000006</v>
      </c>
      <c r="AB39" s="616">
        <f>IFERROR(AA39/O39,0)</f>
        <v>1.0052699453693563</v>
      </c>
      <c r="AC39" s="4"/>
      <c r="AD39" s="4"/>
    </row>
    <row r="40" spans="1:30 16384:16384" ht="19.5" thickBot="1" x14ac:dyDescent="0.35">
      <c r="A40" s="5"/>
      <c r="B40" s="107" t="s">
        <v>49</v>
      </c>
      <c r="C40" s="108" t="s">
        <v>51</v>
      </c>
      <c r="D40" s="109">
        <f>D24-D39</f>
        <v>-901.89999999999964</v>
      </c>
      <c r="E40" s="109">
        <f>E24-E39</f>
        <v>0</v>
      </c>
      <c r="F40" s="109">
        <f>F24-F39</f>
        <v>730</v>
      </c>
      <c r="G40" s="118">
        <f>G24-G39</f>
        <v>-171.90000000000873</v>
      </c>
      <c r="H40" s="118">
        <f>H24-H39</f>
        <v>285.89999999999998</v>
      </c>
      <c r="I40" s="119">
        <f>I24-I39</f>
        <v>113.99999999998545</v>
      </c>
      <c r="J40" s="109">
        <f>J24-J39</f>
        <v>0</v>
      </c>
      <c r="K40" s="109">
        <f>K24-K39</f>
        <v>0</v>
      </c>
      <c r="L40" s="109">
        <f>L24-L39</f>
        <v>0</v>
      </c>
      <c r="M40" s="615">
        <f>M24-M39</f>
        <v>0</v>
      </c>
      <c r="N40" s="615">
        <f>N24-N39</f>
        <v>140</v>
      </c>
      <c r="O40" s="614">
        <f>O24-O39</f>
        <v>140</v>
      </c>
      <c r="P40" s="109">
        <f>P24-P39</f>
        <v>309.85500000000002</v>
      </c>
      <c r="Q40" s="109">
        <f>Q24-Q39</f>
        <v>0</v>
      </c>
      <c r="R40" s="109">
        <f>R24-R39</f>
        <v>510.91499999999974</v>
      </c>
      <c r="S40" s="118">
        <f>S24-S39</f>
        <v>820.77000000000407</v>
      </c>
      <c r="T40" s="118">
        <f>T24-T39</f>
        <v>154.69999999999999</v>
      </c>
      <c r="U40" s="119">
        <f>U24-U39</f>
        <v>975.47000000000116</v>
      </c>
      <c r="V40" s="109">
        <f>V24-V39</f>
        <v>0</v>
      </c>
      <c r="W40" s="109">
        <f>W24-W39</f>
        <v>0</v>
      </c>
      <c r="X40" s="109">
        <f>X24-X39</f>
        <v>-25</v>
      </c>
      <c r="Y40" s="118">
        <f>Y24-Y39</f>
        <v>-25</v>
      </c>
      <c r="Z40" s="118">
        <f>Z24-Z39</f>
        <v>160</v>
      </c>
      <c r="AA40" s="119">
        <f>AA24-AA39</f>
        <v>135</v>
      </c>
      <c r="AB40" s="613">
        <f>IFERROR(AA40/O40,0)</f>
        <v>0.9642857142857143</v>
      </c>
      <c r="AC40" s="4"/>
      <c r="AD40" s="4"/>
    </row>
    <row r="41" spans="1:30 16384:16384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-7745.0000000000146</v>
      </c>
      <c r="J41" s="112"/>
      <c r="K41" s="113"/>
      <c r="L41" s="113"/>
      <c r="M41" s="114"/>
      <c r="N41" s="117"/>
      <c r="O41" s="116">
        <f>O40-J16</f>
        <v>-8365.2000000000007</v>
      </c>
      <c r="P41" s="112"/>
      <c r="Q41" s="113"/>
      <c r="R41" s="113"/>
      <c r="S41" s="114"/>
      <c r="T41" s="117"/>
      <c r="U41" s="116">
        <f>U40-P16</f>
        <v>-3117.1299999999987</v>
      </c>
      <c r="V41" s="112"/>
      <c r="W41" s="113"/>
      <c r="X41" s="113"/>
      <c r="Y41" s="114"/>
      <c r="Z41" s="117"/>
      <c r="AA41" s="116">
        <f>AA40-V16</f>
        <v>-8743.7999999999993</v>
      </c>
      <c r="AB41" s="612">
        <f>IFERROR(AA41/O41,0)</f>
        <v>1.0452589298522448</v>
      </c>
      <c r="AC41" s="922"/>
      <c r="AD41" s="4"/>
    </row>
    <row r="42" spans="1:30 16384:16384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 16384:16384" s="122" customFormat="1" ht="15.75" customHeight="1" thickBot="1" x14ac:dyDescent="0.3">
      <c r="A43" s="87"/>
      <c r="B43" s="92"/>
      <c r="C43" s="219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21"/>
      <c r="AD43" s="90"/>
    </row>
    <row r="44" spans="1:30 16384:16384" ht="15.75" thickBot="1" x14ac:dyDescent="0.3">
      <c r="A44" s="5"/>
      <c r="B44" s="92"/>
      <c r="C44" s="220"/>
      <c r="D44" s="94">
        <v>821.9</v>
      </c>
      <c r="E44" s="104">
        <v>821.9</v>
      </c>
      <c r="F44" s="105">
        <v>0</v>
      </c>
      <c r="G44" s="49"/>
      <c r="H44" s="49"/>
      <c r="I44" s="50"/>
      <c r="J44" s="94">
        <v>821.9</v>
      </c>
      <c r="K44" s="104">
        <v>821.9</v>
      </c>
      <c r="L44" s="105">
        <v>0</v>
      </c>
      <c r="M44" s="93"/>
      <c r="N44" s="93"/>
      <c r="O44" s="93"/>
      <c r="P44" s="94">
        <v>410.9</v>
      </c>
      <c r="Q44" s="104">
        <v>410.9</v>
      </c>
      <c r="R44" s="105">
        <v>0</v>
      </c>
      <c r="S44" s="4"/>
      <c r="T44" s="4"/>
      <c r="U44" s="4"/>
      <c r="V44" s="94">
        <v>1021.9</v>
      </c>
      <c r="W44" s="104">
        <v>1021.9</v>
      </c>
      <c r="X44" s="105">
        <v>0</v>
      </c>
      <c r="Y44" s="4"/>
      <c r="Z44" s="4"/>
      <c r="AA44" s="4"/>
      <c r="AB44" s="4"/>
      <c r="AC44" s="4"/>
      <c r="AD44" s="4"/>
    </row>
    <row r="45" spans="1:30 16384:16384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 16384:16384" s="122" customFormat="1" ht="37.5" customHeight="1" thickBot="1" x14ac:dyDescent="0.3">
      <c r="A46" s="87"/>
      <c r="B46" s="92"/>
      <c r="C46" s="219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 16384:16384" ht="15.75" thickBot="1" x14ac:dyDescent="0.3">
      <c r="A47" s="5"/>
      <c r="B47" s="47"/>
      <c r="C47" s="22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 16384:16384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281</v>
      </c>
      <c r="D50" s="85">
        <v>286.60000000000002</v>
      </c>
      <c r="E50" s="85">
        <v>75</v>
      </c>
      <c r="F50" s="85">
        <v>15.2</v>
      </c>
      <c r="G50" s="52">
        <f>D50+E50-F50</f>
        <v>346.40000000000003</v>
      </c>
      <c r="H50" s="49"/>
      <c r="I50" s="4"/>
      <c r="J50" s="52">
        <f>G50</f>
        <v>346.40000000000003</v>
      </c>
      <c r="K50" s="85"/>
      <c r="L50" s="85">
        <v>50</v>
      </c>
      <c r="M50" s="52">
        <f>J50+K50-L50</f>
        <v>296.40000000000003</v>
      </c>
      <c r="N50" s="4"/>
      <c r="O50" s="4"/>
      <c r="P50" s="85">
        <v>346.3</v>
      </c>
      <c r="Q50" s="85">
        <v>91.2</v>
      </c>
      <c r="R50" s="85"/>
      <c r="S50" s="52">
        <f>P50+Q50-R50</f>
        <v>437.5</v>
      </c>
      <c r="T50" s="4"/>
      <c r="U50" s="4"/>
      <c r="V50" s="85">
        <v>437.5</v>
      </c>
      <c r="W50" s="85">
        <v>30</v>
      </c>
      <c r="X50" s="85">
        <v>50</v>
      </c>
      <c r="Y50" s="52">
        <f>V50+W50-X50</f>
        <v>417.5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280</v>
      </c>
      <c r="D51" s="85">
        <v>1261.3</v>
      </c>
      <c r="E51" s="85">
        <f>5077.4+675.7</f>
        <v>5753.0999999999995</v>
      </c>
      <c r="F51" s="85">
        <f>832.1+1050.3</f>
        <v>1882.4</v>
      </c>
      <c r="G51" s="52">
        <f>D51+E51-F51</f>
        <v>5132</v>
      </c>
      <c r="H51" s="49"/>
      <c r="I51" s="4"/>
      <c r="J51" s="52">
        <f>G51</f>
        <v>5132</v>
      </c>
      <c r="K51" s="85">
        <v>600</v>
      </c>
      <c r="L51" s="85">
        <v>1000</v>
      </c>
      <c r="M51" s="52">
        <f>J51+K51-L51</f>
        <v>4732</v>
      </c>
      <c r="N51" s="4"/>
      <c r="O51" s="4"/>
      <c r="P51" s="85">
        <v>5132.1000000000004</v>
      </c>
      <c r="Q51" s="85">
        <v>190.7</v>
      </c>
      <c r="R51" s="85">
        <f>174.1+846.6+2108.5+31.4</f>
        <v>3160.6</v>
      </c>
      <c r="S51" s="52">
        <f>P51+Q51-R51</f>
        <v>2162.2000000000003</v>
      </c>
      <c r="T51" s="4"/>
      <c r="U51" s="4"/>
      <c r="V51" s="85">
        <v>1000</v>
      </c>
      <c r="W51" s="85">
        <v>100</v>
      </c>
      <c r="X51" s="85">
        <v>1000</v>
      </c>
      <c r="Y51" s="52">
        <f>V51+W51-X51</f>
        <v>100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599.4</v>
      </c>
      <c r="E52" s="85">
        <f>9.3+1220.5</f>
        <v>1229.8</v>
      </c>
      <c r="F52" s="85">
        <f>840.8+821.9</f>
        <v>1662.6999999999998</v>
      </c>
      <c r="G52" s="52">
        <f>D52+E52-F52</f>
        <v>166.5</v>
      </c>
      <c r="H52" s="49"/>
      <c r="I52" s="4"/>
      <c r="J52" s="52">
        <f>G52</f>
        <v>166.5</v>
      </c>
      <c r="K52" s="85">
        <v>1150</v>
      </c>
      <c r="L52" s="85">
        <v>400</v>
      </c>
      <c r="M52" s="52">
        <f>J52+K52-L52</f>
        <v>916.5</v>
      </c>
      <c r="N52" s="4"/>
      <c r="O52" s="4"/>
      <c r="P52" s="85">
        <v>166.5</v>
      </c>
      <c r="Q52" s="85">
        <f>4.6+643.5</f>
        <v>648.1</v>
      </c>
      <c r="R52" s="85">
        <v>410.9</v>
      </c>
      <c r="S52" s="52">
        <f>P52+Q52-R52</f>
        <v>403.70000000000005</v>
      </c>
      <c r="T52" s="4"/>
      <c r="U52" s="4"/>
      <c r="V52" s="85">
        <v>400</v>
      </c>
      <c r="W52" s="85">
        <v>1300</v>
      </c>
      <c r="X52" s="85">
        <v>500</v>
      </c>
      <c r="Y52" s="52">
        <f>V52+W52-X52</f>
        <v>1200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188.4</v>
      </c>
      <c r="E53" s="85">
        <v>17.5</v>
      </c>
      <c r="F53" s="85">
        <v>10.8</v>
      </c>
      <c r="G53" s="52">
        <f>D53+E53-F53</f>
        <v>195.1</v>
      </c>
      <c r="H53" s="49"/>
      <c r="I53" s="4"/>
      <c r="J53" s="52">
        <v>188.4</v>
      </c>
      <c r="K53" s="85"/>
      <c r="L53" s="85">
        <v>50</v>
      </c>
      <c r="M53" s="52">
        <f>J53+K53-L53</f>
        <v>138.4</v>
      </c>
      <c r="N53" s="4"/>
      <c r="O53" s="4"/>
      <c r="P53" s="85">
        <v>195.1</v>
      </c>
      <c r="Q53" s="85">
        <v>22.8</v>
      </c>
      <c r="R53" s="85"/>
      <c r="S53" s="52">
        <f>P53+Q53-R53</f>
        <v>217.9</v>
      </c>
      <c r="T53" s="4"/>
      <c r="U53" s="4"/>
      <c r="V53" s="85">
        <v>200</v>
      </c>
      <c r="W53" s="85">
        <v>10</v>
      </c>
      <c r="X53" s="85">
        <v>70</v>
      </c>
      <c r="Y53" s="52">
        <f>V53+W53-X53</f>
        <v>140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1159.4000000000001</v>
      </c>
      <c r="E54" s="85">
        <v>888.1</v>
      </c>
      <c r="F54" s="85">
        <f>236.1+111.7+644.7+12+110.3</f>
        <v>1114.8</v>
      </c>
      <c r="G54" s="52">
        <f>D54+E54-F54</f>
        <v>932.7</v>
      </c>
      <c r="H54" s="49"/>
      <c r="I54" s="4"/>
      <c r="J54" s="52">
        <f>G54</f>
        <v>932.7</v>
      </c>
      <c r="K54" s="85">
        <v>600</v>
      </c>
      <c r="L54" s="85">
        <v>800</v>
      </c>
      <c r="M54" s="52">
        <f>J54+K54-L54</f>
        <v>732.7</v>
      </c>
      <c r="N54" s="4"/>
      <c r="O54" s="4"/>
      <c r="P54" s="85">
        <v>932.8</v>
      </c>
      <c r="Q54" s="85">
        <v>210.8</v>
      </c>
      <c r="R54" s="85">
        <f>131.6+81.9</f>
        <v>213.5</v>
      </c>
      <c r="S54" s="52">
        <f>P54+Q54-R54</f>
        <v>930.09999999999991</v>
      </c>
      <c r="T54" s="4"/>
      <c r="U54" s="4"/>
      <c r="V54" s="85">
        <v>500</v>
      </c>
      <c r="W54" s="85">
        <v>420</v>
      </c>
      <c r="X54" s="85">
        <v>600</v>
      </c>
      <c r="Y54" s="52">
        <f>V54+W54-X54</f>
        <v>320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90</v>
      </c>
      <c r="E57" s="86">
        <v>90</v>
      </c>
      <c r="F57" s="49"/>
      <c r="G57" s="49"/>
      <c r="H57" s="49"/>
      <c r="I57" s="50"/>
      <c r="J57" s="86">
        <v>90</v>
      </c>
      <c r="K57" s="49"/>
      <c r="L57" s="49"/>
      <c r="M57" s="49"/>
      <c r="N57" s="49"/>
      <c r="O57" s="50"/>
      <c r="P57" s="86">
        <v>89</v>
      </c>
      <c r="Q57" s="50"/>
      <c r="R57" s="50"/>
      <c r="S57" s="50"/>
      <c r="T57" s="50"/>
      <c r="U57" s="50"/>
      <c r="V57" s="86">
        <v>90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52"/>
      <c r="W59" s="152"/>
      <c r="X59" s="152"/>
      <c r="Y59" s="152"/>
      <c r="Z59" s="152"/>
      <c r="AA59" s="152"/>
      <c r="AB59" s="153"/>
      <c r="AC59" s="4"/>
      <c r="AD59" s="4"/>
    </row>
    <row r="60" spans="1:30" x14ac:dyDescent="0.25">
      <c r="A60" s="5"/>
      <c r="B60" s="920" t="s">
        <v>279</v>
      </c>
      <c r="C60" s="919"/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19"/>
      <c r="P60" s="919"/>
      <c r="Q60" s="919"/>
      <c r="R60" s="919"/>
      <c r="S60" s="919"/>
      <c r="T60" s="919"/>
      <c r="U60" s="919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5" t="s">
        <v>278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5" t="s">
        <v>277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hidden="1" x14ac:dyDescent="0.25">
      <c r="A64" s="5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hidden="1" x14ac:dyDescent="0.25">
      <c r="A65" s="5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hidden="1" x14ac:dyDescent="0.25">
      <c r="A66" s="5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hidden="1" x14ac:dyDescent="0.25">
      <c r="A67" s="5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hidden="1" x14ac:dyDescent="0.25">
      <c r="A68" s="5"/>
      <c r="B68" s="168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hidden="1" x14ac:dyDescent="0.25">
      <c r="A69" s="5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hidden="1" x14ac:dyDescent="0.25">
      <c r="A70" s="5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hidden="1" x14ac:dyDescent="0.25">
      <c r="A71" s="5"/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hidden="1" x14ac:dyDescent="0.25">
      <c r="A72" s="5"/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hidden="1" x14ac:dyDescent="0.25">
      <c r="A73" s="5"/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hidden="1" x14ac:dyDescent="0.25">
      <c r="A74" s="5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hidden="1" x14ac:dyDescent="0.25">
      <c r="A75" s="5"/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hidden="1" x14ac:dyDescent="0.25">
      <c r="A76" s="5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hidden="1" x14ac:dyDescent="0.25">
      <c r="A77" s="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hidden="1" x14ac:dyDescent="0.25">
      <c r="A78" s="5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hidden="1" x14ac:dyDescent="0.25">
      <c r="A79" s="5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hidden="1" x14ac:dyDescent="0.25">
      <c r="A80" s="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hidden="1" x14ac:dyDescent="0.25">
      <c r="A81" s="5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hidden="1" x14ac:dyDescent="0.25">
      <c r="A82" s="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hidden="1" x14ac:dyDescent="0.25">
      <c r="A83" s="5"/>
      <c r="B83" s="124"/>
      <c r="C83" s="91"/>
      <c r="D83" s="91"/>
      <c r="E83" s="91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hidden="1" x14ac:dyDescent="0.25">
      <c r="A84" s="5"/>
      <c r="B84" s="143"/>
      <c r="C84" s="140"/>
      <c r="D84" s="2"/>
      <c r="E84" s="2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hidden="1" x14ac:dyDescent="0.25">
      <c r="A85" s="5"/>
      <c r="B85" s="124"/>
      <c r="C85" s="125"/>
      <c r="D85" s="2"/>
      <c r="E85" s="2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4"/>
      <c r="W87" s="154"/>
      <c r="X87" s="154"/>
      <c r="Y87" s="154"/>
      <c r="Z87" s="154"/>
      <c r="AA87" s="154"/>
      <c r="AB87" s="155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45575</v>
      </c>
      <c r="D91" s="53" t="s">
        <v>76</v>
      </c>
      <c r="E91" s="216" t="s">
        <v>276</v>
      </c>
      <c r="F91" s="216"/>
      <c r="G91" s="216"/>
      <c r="H91" s="53"/>
      <c r="I91" s="53" t="s">
        <v>77</v>
      </c>
      <c r="J91" s="223" t="s">
        <v>275</v>
      </c>
      <c r="K91" s="223"/>
      <c r="L91" s="223"/>
      <c r="M91" s="22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9" priority="5" operator="equal">
      <formula>0</formula>
    </cfRule>
    <cfRule type="containsErrors" dxfId="8" priority="6">
      <formula>ISERROR(AB15)</formula>
    </cfRule>
  </conditionalFormatting>
  <conditionalFormatting sqref="AB28:AB40">
    <cfRule type="cellIs" dxfId="7" priority="3" operator="equal">
      <formula>0</formula>
    </cfRule>
    <cfRule type="containsErrors" dxfId="6" priority="4">
      <formula>ISERROR(AB28)</formula>
    </cfRule>
  </conditionalFormatting>
  <conditionalFormatting sqref="AB41">
    <cfRule type="cellIs" dxfId="5" priority="1" operator="equal">
      <formula>0</formula>
    </cfRule>
    <cfRule type="containsErrors" dxfId="4" priority="2">
      <formula>ISERROR(AB41)</formula>
    </cfRule>
  </conditionalFormatting>
  <pageMargins left="0.23622047244094491" right="0.23622047244094491" top="1.1417322834645669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CHK</vt:lpstr>
      <vt:lpstr>MěLe</vt:lpstr>
      <vt:lpstr>SOS</vt:lpstr>
      <vt:lpstr>TSmCh</vt:lpstr>
      <vt:lpstr>ZOO</vt:lpstr>
      <vt:lpstr>MŠ</vt:lpstr>
      <vt:lpstr>SVČ Domeček</vt:lpstr>
      <vt:lpstr>ZUŠ</vt:lpstr>
      <vt:lpstr>ZŠaMŠ 17. list.</vt:lpstr>
      <vt:lpstr>ZŠSaMŠ Palach</vt:lpstr>
      <vt:lpstr>ZŠ Heyrovsk.</vt:lpstr>
      <vt:lpstr>ZŠ Bzezenec.</vt:lpstr>
      <vt:lpstr>ZŠ Hornická</vt:lpstr>
      <vt:lpstr>ZŠ Kadaňská</vt:lpstr>
      <vt:lpstr>ZŠ Na Příkopech</vt:lpstr>
      <vt:lpstr>ZŠ Písečná</vt:lpstr>
      <vt:lpstr>ZŠ Školní</vt:lpstr>
      <vt:lpstr>ZŠ Zahradní</vt:lpstr>
      <vt:lpstr>CHK!Oblast_tisku</vt:lpstr>
      <vt:lpstr>MěLe!Oblast_tisku</vt:lpstr>
      <vt:lpstr>MŠ!Oblast_tisku</vt:lpstr>
      <vt:lpstr>SOS!Oblast_tisku</vt:lpstr>
      <vt:lpstr>'SVČ Domeček'!Oblast_tisku</vt:lpstr>
      <vt:lpstr>TSmCh!Oblast_tisku</vt:lpstr>
      <vt:lpstr>ZOO!Oblast_tisku</vt:lpstr>
      <vt:lpstr>'ZŠ Bzezenec.'!Oblast_tisku</vt:lpstr>
      <vt:lpstr>'ZŠ Heyrovsk.'!Oblast_tisku</vt:lpstr>
      <vt:lpstr>'ZŠ Hornická'!Oblast_tisku</vt:lpstr>
      <vt:lpstr>'ZŠ Kadaňská'!Oblast_tisku</vt:lpstr>
      <vt:lpstr>'ZŠ Na Příkopech'!Oblast_tisku</vt:lpstr>
      <vt:lpstr>'ZŠ Písečná'!Oblast_tisku</vt:lpstr>
      <vt:lpstr>'ZŠ Školní'!Oblast_tisku</vt:lpstr>
      <vt:lpstr>'ZŠ Zahradní'!Oblast_tisku</vt:lpstr>
      <vt:lpstr>'ZŠaMŠ 17. list.'!Oblast_tisku</vt:lpstr>
      <vt:lpstr>'ZŠSaMŠ Palach'!Oblast_tisku</vt:lpstr>
      <vt:lpstr>ZUŠ!Oblast_tisku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</cp:lastModifiedBy>
  <cp:lastPrinted>2024-10-09T08:54:48Z</cp:lastPrinted>
  <dcterms:created xsi:type="dcterms:W3CDTF">2017-02-23T12:10:09Z</dcterms:created>
  <dcterms:modified xsi:type="dcterms:W3CDTF">2024-11-14T06:20:07Z</dcterms:modified>
</cp:coreProperties>
</file>