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"/>
    </mc:Choice>
  </mc:AlternateContent>
  <bookViews>
    <workbookView xWindow="0" yWindow="0" windowWidth="28800" windowHeight="12300" tabRatio="881"/>
  </bookViews>
  <sheets>
    <sheet name="CHK" sheetId="3" r:id="rId1"/>
    <sheet name="MěLe" sheetId="4" r:id="rId2"/>
    <sheet name="SOS" sheetId="2" r:id="rId3"/>
    <sheet name="TSmCh" sheetId="1" r:id="rId4"/>
    <sheet name="ZOO" sheetId="5" r:id="rId5"/>
    <sheet name="ZŠ Zahr." sheetId="6" r:id="rId6"/>
    <sheet name="ZŠ Na Přík." sheetId="7" r:id="rId7"/>
    <sheet name="ZŠ Kadaň," sheetId="8" r:id="rId8"/>
    <sheet name="ZŠ Píseč." sheetId="9" r:id="rId9"/>
    <sheet name="ZŠ Horn." sheetId="10" r:id="rId10"/>
    <sheet name="ZŠ Škol." sheetId="11" r:id="rId11"/>
    <sheet name="ZŠ Ak. Heyrov." sheetId="12" r:id="rId12"/>
    <sheet name="ZŠ Březen." sheetId="13" r:id="rId13"/>
    <sheet name="ZŠaMŠ 17. List." sheetId="14" r:id="rId14"/>
    <sheet name="ZŠSaMŠ Palach." sheetId="15" r:id="rId15"/>
    <sheet name="MŠ" sheetId="16" r:id="rId16"/>
    <sheet name="ZUŠ" sheetId="17" r:id="rId17"/>
    <sheet name="SVČ Domeč.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_xlnm.Print_Area" localSheetId="0">CHK!$A$1:$AC$95</definedName>
    <definedName name="_xlnm.Print_Area" localSheetId="1">MěLe!$A$1:$AC$98</definedName>
    <definedName name="_xlnm.Print_Area" localSheetId="15">MŠ!$A$1:$AC$96</definedName>
    <definedName name="_xlnm.Print_Area" localSheetId="2">SOS!$A$1:$AC$96</definedName>
    <definedName name="_xlnm.Print_Area" localSheetId="17">'SVČ Domeč.'!$A$1:$AC$70</definedName>
    <definedName name="_xlnm.Print_Area" localSheetId="3">TSmCh!$A$1:$AC$75</definedName>
    <definedName name="_xlnm.Print_Area" localSheetId="4">ZOO!$A$1:$AC$90</definedName>
    <definedName name="_xlnm.Print_Area" localSheetId="11">'ZŠ Ak. Heyrov.'!$A$1:$AC$96</definedName>
    <definedName name="_xlnm.Print_Area" localSheetId="12">'ZŠ Březen.'!$A$1:$AE$97</definedName>
    <definedName name="_xlnm.Print_Area" localSheetId="9">'ZŠ Horn.'!$A$1:$AC$96</definedName>
    <definedName name="_xlnm.Print_Area" localSheetId="7">'ZŠ Kadaň,'!$A$1:$AC$96</definedName>
    <definedName name="_xlnm.Print_Area" localSheetId="6">'ZŠ Na Přík.'!$A$1:$AC$80</definedName>
    <definedName name="_xlnm.Print_Area" localSheetId="8">'ZŠ Píseč.'!$A$1:$AC$96</definedName>
    <definedName name="_xlnm.Print_Area" localSheetId="10">'ZŠ Škol.'!$A$1:$AC$97</definedName>
    <definedName name="_xlnm.Print_Area" localSheetId="13">'ZŠaMŠ 17. List.'!$A$1:$AC$87</definedName>
    <definedName name="_xlnm.Print_Area" localSheetId="14">'ZŠSaMŠ Palach.'!$A$1:$AC$96</definedName>
    <definedName name="_xlnm.Print_Area" localSheetId="16">ZUŠ!$A$1:$AC$83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8" l="1"/>
  <c r="S54" i="18"/>
  <c r="M54" i="18"/>
  <c r="G54" i="18"/>
  <c r="Y53" i="18"/>
  <c r="S53" i="18"/>
  <c r="M53" i="18"/>
  <c r="G53" i="18"/>
  <c r="Y52" i="18"/>
  <c r="S52" i="18"/>
  <c r="M52" i="18"/>
  <c r="G52" i="18"/>
  <c r="Y51" i="18"/>
  <c r="S51" i="18"/>
  <c r="M51" i="18"/>
  <c r="G51" i="18"/>
  <c r="E51" i="18"/>
  <c r="Y50" i="18"/>
  <c r="X50" i="18"/>
  <c r="W50" i="18"/>
  <c r="V50" i="18"/>
  <c r="S50" i="18"/>
  <c r="R50" i="18"/>
  <c r="Q50" i="18"/>
  <c r="P50" i="18"/>
  <c r="L50" i="18"/>
  <c r="K50" i="18"/>
  <c r="M50" i="18" s="1"/>
  <c r="J50" i="18"/>
  <c r="F50" i="18"/>
  <c r="E50" i="18"/>
  <c r="G50" i="18" s="1"/>
  <c r="D50" i="18"/>
  <c r="K40" i="18"/>
  <c r="Z39" i="18"/>
  <c r="X39" i="18"/>
  <c r="V39" i="18"/>
  <c r="T39" i="18"/>
  <c r="R39" i="18"/>
  <c r="Q39" i="18"/>
  <c r="P39" i="18"/>
  <c r="S39" i="18" s="1"/>
  <c r="N39" i="18"/>
  <c r="L39" i="18"/>
  <c r="K39" i="18"/>
  <c r="J39" i="18"/>
  <c r="M39" i="18" s="1"/>
  <c r="H39" i="18"/>
  <c r="F39" i="18"/>
  <c r="E39" i="18"/>
  <c r="D39" i="18"/>
  <c r="G39" i="18" s="1"/>
  <c r="W38" i="18"/>
  <c r="Y38" i="18" s="1"/>
  <c r="AA38" i="18" s="1"/>
  <c r="AB38" i="18" s="1"/>
  <c r="S38" i="18"/>
  <c r="U38" i="18" s="1"/>
  <c r="M38" i="18"/>
  <c r="O38" i="18" s="1"/>
  <c r="G38" i="18"/>
  <c r="I38" i="18" s="1"/>
  <c r="AA37" i="18"/>
  <c r="AB37" i="18" s="1"/>
  <c r="Y37" i="18"/>
  <c r="U37" i="18"/>
  <c r="S37" i="18"/>
  <c r="O37" i="18"/>
  <c r="M37" i="18"/>
  <c r="I37" i="18"/>
  <c r="G37" i="18"/>
  <c r="Y36" i="18"/>
  <c r="AA36" i="18" s="1"/>
  <c r="AB36" i="18" s="1"/>
  <c r="S36" i="18"/>
  <c r="U36" i="18" s="1"/>
  <c r="M36" i="18"/>
  <c r="O36" i="18" s="1"/>
  <c r="G36" i="18"/>
  <c r="I36" i="18" s="1"/>
  <c r="W35" i="18"/>
  <c r="W39" i="18" s="1"/>
  <c r="S35" i="18"/>
  <c r="U35" i="18" s="1"/>
  <c r="M35" i="18"/>
  <c r="O35" i="18" s="1"/>
  <c r="G35" i="18"/>
  <c r="I35" i="18" s="1"/>
  <c r="AA34" i="18"/>
  <c r="AB34" i="18" s="1"/>
  <c r="Y34" i="18"/>
  <c r="S34" i="18"/>
  <c r="U34" i="18" s="1"/>
  <c r="O34" i="18"/>
  <c r="M34" i="18"/>
  <c r="G34" i="18"/>
  <c r="I34" i="18" s="1"/>
  <c r="Y33" i="18"/>
  <c r="AA33" i="18" s="1"/>
  <c r="S33" i="18"/>
  <c r="U33" i="18" s="1"/>
  <c r="M33" i="18"/>
  <c r="O33" i="18" s="1"/>
  <c r="G33" i="18"/>
  <c r="I33" i="18" s="1"/>
  <c r="AA32" i="18"/>
  <c r="AB32" i="18" s="1"/>
  <c r="Y32" i="18"/>
  <c r="U32" i="18"/>
  <c r="S32" i="18"/>
  <c r="O32" i="18"/>
  <c r="M32" i="18"/>
  <c r="I32" i="18"/>
  <c r="G32" i="18"/>
  <c r="Y31" i="18"/>
  <c r="AA31" i="18" s="1"/>
  <c r="S31" i="18"/>
  <c r="U31" i="18" s="1"/>
  <c r="M31" i="18"/>
  <c r="O31" i="18" s="1"/>
  <c r="G31" i="18"/>
  <c r="I31" i="18" s="1"/>
  <c r="AA30" i="18"/>
  <c r="AB30" i="18" s="1"/>
  <c r="Y30" i="18"/>
  <c r="U30" i="18"/>
  <c r="S30" i="18"/>
  <c r="O30" i="18"/>
  <c r="M30" i="18"/>
  <c r="I30" i="18"/>
  <c r="G30" i="18"/>
  <c r="Y29" i="18"/>
  <c r="AA29" i="18" s="1"/>
  <c r="S29" i="18"/>
  <c r="U29" i="18" s="1"/>
  <c r="M29" i="18"/>
  <c r="O29" i="18" s="1"/>
  <c r="G29" i="18"/>
  <c r="I29" i="18" s="1"/>
  <c r="AA28" i="18"/>
  <c r="AB28" i="18" s="1"/>
  <c r="Y28" i="18"/>
  <c r="U28" i="18"/>
  <c r="S28" i="18"/>
  <c r="O28" i="18"/>
  <c r="M28" i="18"/>
  <c r="I28" i="18"/>
  <c r="G28" i="18"/>
  <c r="Z24" i="18"/>
  <c r="Z40" i="18" s="1"/>
  <c r="X24" i="18"/>
  <c r="X40" i="18" s="1"/>
  <c r="V24" i="18"/>
  <c r="V40" i="18" s="1"/>
  <c r="T24" i="18"/>
  <c r="T40" i="18" s="1"/>
  <c r="R24" i="18"/>
  <c r="R40" i="18" s="1"/>
  <c r="Q24" i="18"/>
  <c r="Q40" i="18" s="1"/>
  <c r="P24" i="18"/>
  <c r="P40" i="18" s="1"/>
  <c r="N24" i="18"/>
  <c r="N40" i="18" s="1"/>
  <c r="L24" i="18"/>
  <c r="L40" i="18" s="1"/>
  <c r="K24" i="18"/>
  <c r="J24" i="18"/>
  <c r="J40" i="18" s="1"/>
  <c r="H24" i="18"/>
  <c r="H40" i="18" s="1"/>
  <c r="F24" i="18"/>
  <c r="F40" i="18" s="1"/>
  <c r="E24" i="18"/>
  <c r="E40" i="18" s="1"/>
  <c r="D24" i="18"/>
  <c r="D40" i="18" s="1"/>
  <c r="AA23" i="18"/>
  <c r="AB23" i="18" s="1"/>
  <c r="Y23" i="18"/>
  <c r="S23" i="18"/>
  <c r="U23" i="18" s="1"/>
  <c r="O23" i="18"/>
  <c r="M23" i="18"/>
  <c r="G23" i="18"/>
  <c r="I23" i="18" s="1"/>
  <c r="Y22" i="18"/>
  <c r="AA22" i="18" s="1"/>
  <c r="AB22" i="18" s="1"/>
  <c r="S22" i="18"/>
  <c r="U22" i="18" s="1"/>
  <c r="M22" i="18"/>
  <c r="O22" i="18" s="1"/>
  <c r="G22" i="18"/>
  <c r="I22" i="18" s="1"/>
  <c r="Y21" i="18"/>
  <c r="AA21" i="18" s="1"/>
  <c r="AB21" i="18" s="1"/>
  <c r="U21" i="18"/>
  <c r="S21" i="18"/>
  <c r="M21" i="18"/>
  <c r="O21" i="18" s="1"/>
  <c r="I21" i="18"/>
  <c r="G21" i="18"/>
  <c r="Y20" i="18"/>
  <c r="AA20" i="18" s="1"/>
  <c r="S20" i="18"/>
  <c r="U20" i="18" s="1"/>
  <c r="M20" i="18"/>
  <c r="O20" i="18" s="1"/>
  <c r="G20" i="18"/>
  <c r="I20" i="18" s="1"/>
  <c r="AA19" i="18"/>
  <c r="AB19" i="18" s="1"/>
  <c r="Y19" i="18"/>
  <c r="S19" i="18"/>
  <c r="U19" i="18" s="1"/>
  <c r="O19" i="18"/>
  <c r="M19" i="18"/>
  <c r="G19" i="18"/>
  <c r="I19" i="18" s="1"/>
  <c r="W18" i="18"/>
  <c r="Y18" i="18" s="1"/>
  <c r="AA18" i="18" s="1"/>
  <c r="AB18" i="18" s="1"/>
  <c r="U18" i="18"/>
  <c r="S18" i="18"/>
  <c r="M18" i="18"/>
  <c r="O18" i="18" s="1"/>
  <c r="I18" i="18"/>
  <c r="G18" i="18"/>
  <c r="Y17" i="18"/>
  <c r="AA17" i="18" s="1"/>
  <c r="S17" i="18"/>
  <c r="U17" i="18" s="1"/>
  <c r="M17" i="18"/>
  <c r="O17" i="18" s="1"/>
  <c r="G17" i="18"/>
  <c r="I17" i="18" s="1"/>
  <c r="AA16" i="18"/>
  <c r="AB16" i="18" s="1"/>
  <c r="Y16" i="18"/>
  <c r="S16" i="18"/>
  <c r="U16" i="18" s="1"/>
  <c r="O16" i="18"/>
  <c r="M16" i="18"/>
  <c r="G16" i="18"/>
  <c r="I16" i="18" s="1"/>
  <c r="Y15" i="18"/>
  <c r="AA15" i="18" s="1"/>
  <c r="S15" i="18"/>
  <c r="U15" i="18" s="1"/>
  <c r="U24" i="18" s="1"/>
  <c r="M15" i="18"/>
  <c r="O15" i="18" s="1"/>
  <c r="G15" i="18"/>
  <c r="I15" i="18" s="1"/>
  <c r="AA24" i="18" l="1"/>
  <c r="AB15" i="18"/>
  <c r="Y39" i="18"/>
  <c r="I24" i="18"/>
  <c r="AB31" i="18"/>
  <c r="AB33" i="18"/>
  <c r="O39" i="18"/>
  <c r="I39" i="18"/>
  <c r="AB29" i="18"/>
  <c r="O24" i="18"/>
  <c r="AB17" i="18"/>
  <c r="AB20" i="18"/>
  <c r="U39" i="18"/>
  <c r="U40" i="18" s="1"/>
  <c r="U41" i="18" s="1"/>
  <c r="G24" i="18"/>
  <c r="G40" i="18" s="1"/>
  <c r="S24" i="18"/>
  <c r="S40" i="18" s="1"/>
  <c r="W24" i="18"/>
  <c r="W40" i="18" s="1"/>
  <c r="Y35" i="18"/>
  <c r="AA35" i="18" s="1"/>
  <c r="M24" i="18"/>
  <c r="M40" i="18" s="1"/>
  <c r="Y24" i="18"/>
  <c r="Y40" i="18" s="1"/>
  <c r="O40" i="18" l="1"/>
  <c r="O41" i="18" s="1"/>
  <c r="AA39" i="18"/>
  <c r="AB39" i="18" s="1"/>
  <c r="AB35" i="18"/>
  <c r="AB24" i="18"/>
  <c r="I40" i="18"/>
  <c r="I41" i="18" s="1"/>
  <c r="AA40" i="18" l="1"/>
  <c r="AA41" i="18" l="1"/>
  <c r="AB41" i="18" s="1"/>
  <c r="AB40" i="18"/>
  <c r="G15" i="17" l="1"/>
  <c r="I15" i="17"/>
  <c r="M15" i="17"/>
  <c r="O15" i="17"/>
  <c r="S15" i="17"/>
  <c r="U15" i="17"/>
  <c r="Y15" i="17"/>
  <c r="AA15" i="17"/>
  <c r="AB15" i="17" s="1"/>
  <c r="G16" i="17"/>
  <c r="I16" i="17" s="1"/>
  <c r="J16" i="17"/>
  <c r="M16" i="17" s="1"/>
  <c r="O16" i="17" s="1"/>
  <c r="S16" i="17"/>
  <c r="U16" i="17"/>
  <c r="U24" i="17" s="1"/>
  <c r="U40" i="17" s="1"/>
  <c r="U41" i="17" s="1"/>
  <c r="Y16" i="17"/>
  <c r="AA16" i="17"/>
  <c r="AB16" i="17" s="1"/>
  <c r="G17" i="17"/>
  <c r="I17" i="17" s="1"/>
  <c r="J17" i="17"/>
  <c r="M17" i="17" s="1"/>
  <c r="O17" i="17" s="1"/>
  <c r="AB17" i="17" s="1"/>
  <c r="S17" i="17"/>
  <c r="U17" i="17"/>
  <c r="AA17" i="17"/>
  <c r="G18" i="17"/>
  <c r="I18" i="17"/>
  <c r="M18" i="17"/>
  <c r="O18" i="17"/>
  <c r="S18" i="17"/>
  <c r="U18" i="17"/>
  <c r="Y18" i="17"/>
  <c r="AA18" i="17"/>
  <c r="AB18" i="17" s="1"/>
  <c r="G19" i="17"/>
  <c r="I19" i="17" s="1"/>
  <c r="M19" i="17"/>
  <c r="O19" i="17" s="1"/>
  <c r="S19" i="17"/>
  <c r="U19" i="17" s="1"/>
  <c r="Y19" i="17"/>
  <c r="AA19" i="17" s="1"/>
  <c r="I20" i="17"/>
  <c r="M20" i="17"/>
  <c r="O20" i="17" s="1"/>
  <c r="S20" i="17"/>
  <c r="U20" i="17" s="1"/>
  <c r="Y20" i="17"/>
  <c r="AA20" i="17" s="1"/>
  <c r="AB20" i="17" s="1"/>
  <c r="G21" i="17"/>
  <c r="I21" i="17"/>
  <c r="M21" i="17"/>
  <c r="O21" i="17"/>
  <c r="S21" i="17"/>
  <c r="U21" i="17"/>
  <c r="Y21" i="17"/>
  <c r="AA21" i="17"/>
  <c r="AB21" i="17" s="1"/>
  <c r="G22" i="17"/>
  <c r="I22" i="17" s="1"/>
  <c r="M22" i="17"/>
  <c r="O22" i="17" s="1"/>
  <c r="S22" i="17"/>
  <c r="U22" i="17" s="1"/>
  <c r="Y22" i="17"/>
  <c r="AA22" i="17" s="1"/>
  <c r="AB22" i="17" s="1"/>
  <c r="G23" i="17"/>
  <c r="I23" i="17"/>
  <c r="M23" i="17"/>
  <c r="O23" i="17"/>
  <c r="S23" i="17"/>
  <c r="U23" i="17"/>
  <c r="Y23" i="17"/>
  <c r="AA23" i="17"/>
  <c r="AB23" i="17" s="1"/>
  <c r="D24" i="17"/>
  <c r="G24" i="17" s="1"/>
  <c r="E24" i="17"/>
  <c r="F24" i="17"/>
  <c r="F40" i="17" s="1"/>
  <c r="H24" i="17"/>
  <c r="K24" i="17"/>
  <c r="K40" i="17" s="1"/>
  <c r="L24" i="17"/>
  <c r="N24" i="17"/>
  <c r="P24" i="17"/>
  <c r="Q24" i="17"/>
  <c r="R24" i="17"/>
  <c r="S24" i="17"/>
  <c r="T24" i="17"/>
  <c r="V24" i="17"/>
  <c r="W24" i="17"/>
  <c r="Y24" i="17" s="1"/>
  <c r="Y40" i="17" s="1"/>
  <c r="X24" i="17"/>
  <c r="Z24" i="17"/>
  <c r="G28" i="17"/>
  <c r="I28" i="17" s="1"/>
  <c r="M28" i="17"/>
  <c r="O28" i="17" s="1"/>
  <c r="S28" i="17"/>
  <c r="U28" i="17" s="1"/>
  <c r="Y28" i="17"/>
  <c r="AA28" i="17" s="1"/>
  <c r="AB28" i="17" s="1"/>
  <c r="G29" i="17"/>
  <c r="I29" i="17"/>
  <c r="M29" i="17"/>
  <c r="O29" i="17"/>
  <c r="S29" i="17"/>
  <c r="U29" i="17"/>
  <c r="Y29" i="17"/>
  <c r="AA29" i="17"/>
  <c r="AB29" i="17" s="1"/>
  <c r="I30" i="17"/>
  <c r="M30" i="17"/>
  <c r="O30" i="17"/>
  <c r="U30" i="17"/>
  <c r="Y30" i="17"/>
  <c r="AA30" i="17" s="1"/>
  <c r="AB30" i="17" s="1"/>
  <c r="G31" i="17"/>
  <c r="I31" i="17"/>
  <c r="M31" i="17"/>
  <c r="O31" i="17"/>
  <c r="S31" i="17"/>
  <c r="U31" i="17"/>
  <c r="Y31" i="17"/>
  <c r="AA31" i="17"/>
  <c r="AB31" i="17" s="1"/>
  <c r="G32" i="17"/>
  <c r="I32" i="17" s="1"/>
  <c r="M32" i="17"/>
  <c r="O32" i="17" s="1"/>
  <c r="S32" i="17"/>
  <c r="U32" i="17" s="1"/>
  <c r="Y32" i="17"/>
  <c r="AA32" i="17" s="1"/>
  <c r="AB32" i="17" s="1"/>
  <c r="G33" i="17"/>
  <c r="I33" i="17"/>
  <c r="M33" i="17"/>
  <c r="O33" i="17"/>
  <c r="S33" i="17"/>
  <c r="U33" i="17"/>
  <c r="Y33" i="17"/>
  <c r="AA33" i="17"/>
  <c r="AB33" i="17" s="1"/>
  <c r="G34" i="17"/>
  <c r="I34" i="17" s="1"/>
  <c r="M34" i="17"/>
  <c r="O34" i="17" s="1"/>
  <c r="S34" i="17"/>
  <c r="U34" i="17" s="1"/>
  <c r="Y34" i="17"/>
  <c r="AA34" i="17" s="1"/>
  <c r="AB34" i="17" s="1"/>
  <c r="G35" i="17"/>
  <c r="I35" i="17"/>
  <c r="M35" i="17"/>
  <c r="O35" i="17"/>
  <c r="S35" i="17"/>
  <c r="U35" i="17"/>
  <c r="Y35" i="17"/>
  <c r="AA35" i="17"/>
  <c r="AB35" i="17" s="1"/>
  <c r="G36" i="17"/>
  <c r="I36" i="17" s="1"/>
  <c r="M36" i="17"/>
  <c r="O36" i="17" s="1"/>
  <c r="S36" i="17"/>
  <c r="U36" i="17" s="1"/>
  <c r="U39" i="17" s="1"/>
  <c r="Y36" i="17"/>
  <c r="AA36" i="17" s="1"/>
  <c r="G37" i="17"/>
  <c r="I37" i="17"/>
  <c r="M37" i="17"/>
  <c r="O37" i="17"/>
  <c r="S37" i="17"/>
  <c r="U37" i="17"/>
  <c r="Y37" i="17"/>
  <c r="AA37" i="17"/>
  <c r="AB37" i="17" s="1"/>
  <c r="G38" i="17"/>
  <c r="I38" i="17" s="1"/>
  <c r="M38" i="17"/>
  <c r="O38" i="17" s="1"/>
  <c r="S38" i="17"/>
  <c r="U38" i="17" s="1"/>
  <c r="Y38" i="17"/>
  <c r="AA38" i="17" s="1"/>
  <c r="AB38" i="17" s="1"/>
  <c r="D39" i="17"/>
  <c r="E39" i="17"/>
  <c r="E40" i="17" s="1"/>
  <c r="F39" i="17"/>
  <c r="H39" i="17"/>
  <c r="J39" i="17"/>
  <c r="K39" i="17"/>
  <c r="L39" i="17"/>
  <c r="M39" i="17"/>
  <c r="N39" i="17"/>
  <c r="P39" i="17"/>
  <c r="Q39" i="17"/>
  <c r="Q40" i="17" s="1"/>
  <c r="R39" i="17"/>
  <c r="T39" i="17"/>
  <c r="V39" i="17"/>
  <c r="W39" i="17"/>
  <c r="X39" i="17"/>
  <c r="Y39" i="17"/>
  <c r="Z39" i="17"/>
  <c r="D40" i="17"/>
  <c r="H40" i="17"/>
  <c r="L40" i="17"/>
  <c r="N40" i="17"/>
  <c r="P40" i="17"/>
  <c r="R40" i="17"/>
  <c r="T40" i="17"/>
  <c r="V40" i="17"/>
  <c r="X40" i="17"/>
  <c r="Z40" i="17"/>
  <c r="D50" i="17"/>
  <c r="E50" i="17"/>
  <c r="M50" i="17"/>
  <c r="S50" i="17"/>
  <c r="Y50" i="17"/>
  <c r="G51" i="17"/>
  <c r="M51" i="17"/>
  <c r="Y51" i="17"/>
  <c r="F52" i="17"/>
  <c r="G52" i="17" s="1"/>
  <c r="M52" i="17"/>
  <c r="Y52" i="17"/>
  <c r="G53" i="17"/>
  <c r="M53" i="17"/>
  <c r="Y53" i="17"/>
  <c r="G54" i="17"/>
  <c r="M54" i="17"/>
  <c r="Y54" i="17"/>
  <c r="AA39" i="17" l="1"/>
  <c r="AB36" i="17"/>
  <c r="AB19" i="17"/>
  <c r="AA24" i="17"/>
  <c r="G50" i="17"/>
  <c r="O39" i="17"/>
  <c r="S40" i="17"/>
  <c r="O24" i="17"/>
  <c r="O40" i="17" s="1"/>
  <c r="O41" i="17" s="1"/>
  <c r="I39" i="17"/>
  <c r="I40" i="17" s="1"/>
  <c r="I41" i="17" s="1"/>
  <c r="F50" i="17"/>
  <c r="W40" i="17"/>
  <c r="J24" i="17"/>
  <c r="S39" i="17"/>
  <c r="G39" i="17"/>
  <c r="G40" i="17" s="1"/>
  <c r="Y54" i="16"/>
  <c r="S54" i="16"/>
  <c r="M54" i="16"/>
  <c r="G54" i="16"/>
  <c r="Y53" i="16"/>
  <c r="S53" i="16"/>
  <c r="M53" i="16"/>
  <c r="G53" i="16"/>
  <c r="Y52" i="16"/>
  <c r="S52" i="16"/>
  <c r="M52" i="16"/>
  <c r="G52" i="16"/>
  <c r="Y51" i="16"/>
  <c r="S51" i="16"/>
  <c r="M51" i="16"/>
  <c r="G51" i="16"/>
  <c r="Y50" i="16"/>
  <c r="X50" i="16"/>
  <c r="W50" i="16"/>
  <c r="S50" i="16"/>
  <c r="R50" i="16"/>
  <c r="Q50" i="16"/>
  <c r="P50" i="16"/>
  <c r="M50" i="16"/>
  <c r="L50" i="16"/>
  <c r="K50" i="16"/>
  <c r="J50" i="16"/>
  <c r="G50" i="16"/>
  <c r="F50" i="16"/>
  <c r="E50" i="16"/>
  <c r="D50" i="16"/>
  <c r="E40" i="16"/>
  <c r="Z39" i="16"/>
  <c r="X39" i="16"/>
  <c r="V39" i="16"/>
  <c r="T39" i="16"/>
  <c r="R39" i="16"/>
  <c r="N39" i="16"/>
  <c r="L39" i="16"/>
  <c r="J39" i="16"/>
  <c r="H39" i="16"/>
  <c r="F39" i="16"/>
  <c r="E39" i="16"/>
  <c r="G39" i="16" s="1"/>
  <c r="D39" i="16"/>
  <c r="AA38" i="16"/>
  <c r="AB38" i="16" s="1"/>
  <c r="Y38" i="16"/>
  <c r="Q38" i="16"/>
  <c r="S38" i="16" s="1"/>
  <c r="U38" i="16" s="1"/>
  <c r="O38" i="16"/>
  <c r="M38" i="16"/>
  <c r="G38" i="16"/>
  <c r="I38" i="16" s="1"/>
  <c r="Y37" i="16"/>
  <c r="AA37" i="16" s="1"/>
  <c r="U37" i="16"/>
  <c r="S37" i="16"/>
  <c r="P37" i="16"/>
  <c r="P39" i="16" s="1"/>
  <c r="M37" i="16"/>
  <c r="O37" i="16" s="1"/>
  <c r="I37" i="16"/>
  <c r="G37" i="16"/>
  <c r="AA36" i="16"/>
  <c r="AB36" i="16" s="1"/>
  <c r="Y36" i="16"/>
  <c r="U36" i="16"/>
  <c r="S36" i="16"/>
  <c r="O36" i="16"/>
  <c r="M36" i="16"/>
  <c r="I36" i="16"/>
  <c r="G36" i="16"/>
  <c r="AB35" i="16"/>
  <c r="AA35" i="16"/>
  <c r="Y35" i="16"/>
  <c r="S35" i="16"/>
  <c r="U35" i="16" s="1"/>
  <c r="U39" i="16" s="1"/>
  <c r="Q35" i="16"/>
  <c r="Q39" i="16" s="1"/>
  <c r="Q40" i="16" s="1"/>
  <c r="O35" i="16"/>
  <c r="M35" i="16"/>
  <c r="I35" i="16"/>
  <c r="G35" i="16"/>
  <c r="Y34" i="16"/>
  <c r="AA34" i="16" s="1"/>
  <c r="U34" i="16"/>
  <c r="S34" i="16"/>
  <c r="M34" i="16"/>
  <c r="O34" i="16" s="1"/>
  <c r="I34" i="16"/>
  <c r="G34" i="16"/>
  <c r="AA33" i="16"/>
  <c r="AB33" i="16" s="1"/>
  <c r="Y33" i="16"/>
  <c r="U33" i="16"/>
  <c r="S33" i="16"/>
  <c r="O33" i="16"/>
  <c r="M33" i="16"/>
  <c r="I33" i="16"/>
  <c r="G33" i="16"/>
  <c r="AA32" i="16"/>
  <c r="Y32" i="16"/>
  <c r="W32" i="16"/>
  <c r="W39" i="16" s="1"/>
  <c r="U32" i="16"/>
  <c r="S32" i="16"/>
  <c r="K32" i="16"/>
  <c r="K39" i="16" s="1"/>
  <c r="I32" i="16"/>
  <c r="G32" i="16"/>
  <c r="AA31" i="16"/>
  <c r="AB31" i="16" s="1"/>
  <c r="Y31" i="16"/>
  <c r="U31" i="16"/>
  <c r="S31" i="16"/>
  <c r="O31" i="16"/>
  <c r="M31" i="16"/>
  <c r="I31" i="16"/>
  <c r="G31" i="16"/>
  <c r="AB30" i="16"/>
  <c r="AA30" i="16"/>
  <c r="Y30" i="16"/>
  <c r="S30" i="16"/>
  <c r="U30" i="16" s="1"/>
  <c r="O30" i="16"/>
  <c r="M30" i="16"/>
  <c r="G30" i="16"/>
  <c r="I30" i="16" s="1"/>
  <c r="Y29" i="16"/>
  <c r="AA29" i="16" s="1"/>
  <c r="AB29" i="16" s="1"/>
  <c r="U29" i="16"/>
  <c r="S29" i="16"/>
  <c r="M29" i="16"/>
  <c r="O29" i="16" s="1"/>
  <c r="I29" i="16"/>
  <c r="G29" i="16"/>
  <c r="Y28" i="16"/>
  <c r="AA28" i="16" s="1"/>
  <c r="AB28" i="16" s="1"/>
  <c r="U28" i="16"/>
  <c r="S28" i="16"/>
  <c r="M28" i="16"/>
  <c r="O28" i="16" s="1"/>
  <c r="I28" i="16"/>
  <c r="G28" i="16"/>
  <c r="Z24" i="16"/>
  <c r="Z40" i="16" s="1"/>
  <c r="X24" i="16"/>
  <c r="X40" i="16" s="1"/>
  <c r="W24" i="16"/>
  <c r="W40" i="16" s="1"/>
  <c r="V24" i="16"/>
  <c r="Y24" i="16" s="1"/>
  <c r="T24" i="16"/>
  <c r="T40" i="16" s="1"/>
  <c r="S24" i="16"/>
  <c r="R24" i="16"/>
  <c r="R40" i="16" s="1"/>
  <c r="Q24" i="16"/>
  <c r="P24" i="16"/>
  <c r="N24" i="16"/>
  <c r="N40" i="16" s="1"/>
  <c r="L24" i="16"/>
  <c r="L40" i="16" s="1"/>
  <c r="K24" i="16"/>
  <c r="J24" i="16"/>
  <c r="M24" i="16" s="1"/>
  <c r="H24" i="16"/>
  <c r="H40" i="16" s="1"/>
  <c r="G24" i="16"/>
  <c r="G40" i="16" s="1"/>
  <c r="F24" i="16"/>
  <c r="F40" i="16" s="1"/>
  <c r="E24" i="16"/>
  <c r="D24" i="16"/>
  <c r="D40" i="16" s="1"/>
  <c r="AB23" i="16"/>
  <c r="AA23" i="16"/>
  <c r="Y23" i="16"/>
  <c r="S23" i="16"/>
  <c r="U23" i="16" s="1"/>
  <c r="O23" i="16"/>
  <c r="M23" i="16"/>
  <c r="G23" i="16"/>
  <c r="I23" i="16" s="1"/>
  <c r="Y22" i="16"/>
  <c r="AA22" i="16" s="1"/>
  <c r="AB22" i="16" s="1"/>
  <c r="U22" i="16"/>
  <c r="S22" i="16"/>
  <c r="M22" i="16"/>
  <c r="O22" i="16" s="1"/>
  <c r="I22" i="16"/>
  <c r="G22" i="16"/>
  <c r="Y21" i="16"/>
  <c r="AA21" i="16" s="1"/>
  <c r="U21" i="16"/>
  <c r="S21" i="16"/>
  <c r="M21" i="16"/>
  <c r="O21" i="16" s="1"/>
  <c r="I21" i="16"/>
  <c r="G21" i="16"/>
  <c r="AA20" i="16"/>
  <c r="AB20" i="16" s="1"/>
  <c r="Y20" i="16"/>
  <c r="U20" i="16"/>
  <c r="S20" i="16"/>
  <c r="O20" i="16"/>
  <c r="M20" i="16"/>
  <c r="I20" i="16"/>
  <c r="G20" i="16"/>
  <c r="AB19" i="16"/>
  <c r="AA19" i="16"/>
  <c r="Y19" i="16"/>
  <c r="S19" i="16"/>
  <c r="U19" i="16" s="1"/>
  <c r="O19" i="16"/>
  <c r="M19" i="16"/>
  <c r="G19" i="16"/>
  <c r="I19" i="16" s="1"/>
  <c r="AB18" i="16"/>
  <c r="AA18" i="16"/>
  <c r="Y18" i="16"/>
  <c r="U18" i="16"/>
  <c r="S18" i="16"/>
  <c r="O18" i="16"/>
  <c r="M18" i="16"/>
  <c r="I18" i="16"/>
  <c r="G18" i="16"/>
  <c r="Y17" i="16"/>
  <c r="AA17" i="16" s="1"/>
  <c r="AB17" i="16" s="1"/>
  <c r="U17" i="16"/>
  <c r="S17" i="16"/>
  <c r="M17" i="16"/>
  <c r="O17" i="16" s="1"/>
  <c r="I17" i="16"/>
  <c r="G17" i="16"/>
  <c r="AA16" i="16"/>
  <c r="Y16" i="16"/>
  <c r="U16" i="16"/>
  <c r="S16" i="16"/>
  <c r="O16" i="16"/>
  <c r="M16" i="16"/>
  <c r="I16" i="16"/>
  <c r="G16" i="16"/>
  <c r="AB15" i="16"/>
  <c r="AA15" i="16"/>
  <c r="Y15" i="16"/>
  <c r="S15" i="16"/>
  <c r="U15" i="16" s="1"/>
  <c r="U24" i="16" s="1"/>
  <c r="U40" i="16" s="1"/>
  <c r="U41" i="16" s="1"/>
  <c r="O15" i="16"/>
  <c r="M15" i="16"/>
  <c r="G15" i="16"/>
  <c r="I15" i="16" s="1"/>
  <c r="I24" i="16" s="1"/>
  <c r="AB24" i="17" l="1"/>
  <c r="AA40" i="17"/>
  <c r="M24" i="17"/>
  <c r="M40" i="17" s="1"/>
  <c r="J40" i="17"/>
  <c r="AB39" i="17"/>
  <c r="S39" i="16"/>
  <c r="S40" i="16"/>
  <c r="I39" i="16"/>
  <c r="I40" i="16" s="1"/>
  <c r="I41" i="16" s="1"/>
  <c r="P40" i="16"/>
  <c r="M39" i="16"/>
  <c r="M40" i="16" s="1"/>
  <c r="O24" i="16"/>
  <c r="AA24" i="16"/>
  <c r="AB21" i="16"/>
  <c r="K40" i="16"/>
  <c r="Y40" i="16"/>
  <c r="AB34" i="16"/>
  <c r="AA39" i="16"/>
  <c r="AB37" i="16"/>
  <c r="Y39" i="16"/>
  <c r="AB16" i="16"/>
  <c r="M32" i="16"/>
  <c r="O32" i="16" s="1"/>
  <c r="AB32" i="16" s="1"/>
  <c r="J40" i="16"/>
  <c r="V40" i="16"/>
  <c r="AA41" i="17" l="1"/>
  <c r="AB41" i="17" s="1"/>
  <c r="AB40" i="17"/>
  <c r="O39" i="16"/>
  <c r="AB39" i="16" s="1"/>
  <c r="AA40" i="16"/>
  <c r="AB24" i="16"/>
  <c r="AA41" i="16" l="1"/>
  <c r="AB41" i="16" s="1"/>
  <c r="O40" i="16"/>
  <c r="O41" i="16" s="1"/>
  <c r="AB40" i="16" l="1"/>
  <c r="Y54" i="15" l="1"/>
  <c r="S54" i="15"/>
  <c r="M54" i="15"/>
  <c r="G54" i="15"/>
  <c r="Y53" i="15"/>
  <c r="S53" i="15"/>
  <c r="M53" i="15"/>
  <c r="G53" i="15"/>
  <c r="Y52" i="15"/>
  <c r="S52" i="15"/>
  <c r="M52" i="15"/>
  <c r="G52" i="15"/>
  <c r="Y51" i="15"/>
  <c r="S51" i="15"/>
  <c r="M51" i="15"/>
  <c r="G51" i="15"/>
  <c r="Y50" i="15"/>
  <c r="S50" i="15"/>
  <c r="M50" i="15"/>
  <c r="G50" i="15"/>
  <c r="X40" i="15"/>
  <c r="T40" i="15"/>
  <c r="P40" i="15"/>
  <c r="L40" i="15"/>
  <c r="H40" i="15"/>
  <c r="D40" i="15"/>
  <c r="Z39" i="15"/>
  <c r="Y39" i="15"/>
  <c r="X39" i="15"/>
  <c r="W39" i="15"/>
  <c r="V39" i="15"/>
  <c r="T39" i="15"/>
  <c r="R39" i="15"/>
  <c r="Q39" i="15"/>
  <c r="S39" i="15" s="1"/>
  <c r="P39" i="15"/>
  <c r="N39" i="15"/>
  <c r="M39" i="15"/>
  <c r="L39" i="15"/>
  <c r="K39" i="15"/>
  <c r="J39" i="15"/>
  <c r="H39" i="15"/>
  <c r="F39" i="15"/>
  <c r="E39" i="15"/>
  <c r="G39" i="15" s="1"/>
  <c r="D39" i="15"/>
  <c r="Y38" i="15"/>
  <c r="AA38" i="15" s="1"/>
  <c r="AB38" i="15" s="1"/>
  <c r="S38" i="15"/>
  <c r="U38" i="15" s="1"/>
  <c r="M38" i="15"/>
  <c r="O38" i="15" s="1"/>
  <c r="G38" i="15"/>
  <c r="I38" i="15" s="1"/>
  <c r="AA37" i="15"/>
  <c r="AB37" i="15" s="1"/>
  <c r="Y37" i="15"/>
  <c r="U37" i="15"/>
  <c r="S37" i="15"/>
  <c r="O37" i="15"/>
  <c r="M37" i="15"/>
  <c r="I37" i="15"/>
  <c r="G37" i="15"/>
  <c r="Y36" i="15"/>
  <c r="AA36" i="15" s="1"/>
  <c r="AB36" i="15" s="1"/>
  <c r="S36" i="15"/>
  <c r="U36" i="15" s="1"/>
  <c r="M36" i="15"/>
  <c r="O36" i="15" s="1"/>
  <c r="G36" i="15"/>
  <c r="I36" i="15" s="1"/>
  <c r="AA35" i="15"/>
  <c r="AB35" i="15" s="1"/>
  <c r="Y35" i="15"/>
  <c r="U35" i="15"/>
  <c r="U39" i="15" s="1"/>
  <c r="S35" i="15"/>
  <c r="O35" i="15"/>
  <c r="O39" i="15" s="1"/>
  <c r="M35" i="15"/>
  <c r="I35" i="15"/>
  <c r="G35" i="15"/>
  <c r="Y34" i="15"/>
  <c r="AA34" i="15" s="1"/>
  <c r="AB34" i="15" s="1"/>
  <c r="S34" i="15"/>
  <c r="U34" i="15" s="1"/>
  <c r="M34" i="15"/>
  <c r="O34" i="15" s="1"/>
  <c r="G34" i="15"/>
  <c r="I34" i="15" s="1"/>
  <c r="AA33" i="15"/>
  <c r="AB33" i="15" s="1"/>
  <c r="Y33" i="15"/>
  <c r="U33" i="15"/>
  <c r="S33" i="15"/>
  <c r="O33" i="15"/>
  <c r="M33" i="15"/>
  <c r="I33" i="15"/>
  <c r="G33" i="15"/>
  <c r="Y32" i="15"/>
  <c r="AA32" i="15" s="1"/>
  <c r="AB32" i="15" s="1"/>
  <c r="S32" i="15"/>
  <c r="U32" i="15" s="1"/>
  <c r="M32" i="15"/>
  <c r="O32" i="15" s="1"/>
  <c r="G32" i="15"/>
  <c r="I32" i="15" s="1"/>
  <c r="AA31" i="15"/>
  <c r="AB31" i="15" s="1"/>
  <c r="Y31" i="15"/>
  <c r="U31" i="15"/>
  <c r="S31" i="15"/>
  <c r="O31" i="15"/>
  <c r="M31" i="15"/>
  <c r="I31" i="15"/>
  <c r="G31" i="15"/>
  <c r="Y30" i="15"/>
  <c r="AA30" i="15" s="1"/>
  <c r="AB30" i="15" s="1"/>
  <c r="S30" i="15"/>
  <c r="U30" i="15" s="1"/>
  <c r="M30" i="15"/>
  <c r="O30" i="15" s="1"/>
  <c r="G30" i="15"/>
  <c r="I30" i="15" s="1"/>
  <c r="AA29" i="15"/>
  <c r="AB29" i="15" s="1"/>
  <c r="Y29" i="15"/>
  <c r="U29" i="15"/>
  <c r="S29" i="15"/>
  <c r="O29" i="15"/>
  <c r="M29" i="15"/>
  <c r="I29" i="15"/>
  <c r="G29" i="15"/>
  <c r="Y28" i="15"/>
  <c r="AA28" i="15" s="1"/>
  <c r="AB28" i="15" s="1"/>
  <c r="S28" i="15"/>
  <c r="U28" i="15" s="1"/>
  <c r="M28" i="15"/>
  <c r="O28" i="15" s="1"/>
  <c r="G28" i="15"/>
  <c r="I28" i="15" s="1"/>
  <c r="Z24" i="15"/>
  <c r="Z40" i="15" s="1"/>
  <c r="Y24" i="15"/>
  <c r="Y40" i="15" s="1"/>
  <c r="X24" i="15"/>
  <c r="W24" i="15"/>
  <c r="W40" i="15" s="1"/>
  <c r="V24" i="15"/>
  <c r="V40" i="15" s="1"/>
  <c r="T24" i="15"/>
  <c r="R24" i="15"/>
  <c r="R40" i="15" s="1"/>
  <c r="Q24" i="15"/>
  <c r="Q40" i="15" s="1"/>
  <c r="P24" i="15"/>
  <c r="N24" i="15"/>
  <c r="N40" i="15" s="1"/>
  <c r="M24" i="15"/>
  <c r="M40" i="15" s="1"/>
  <c r="L24" i="15"/>
  <c r="K24" i="15"/>
  <c r="K40" i="15" s="1"/>
  <c r="J24" i="15"/>
  <c r="J40" i="15" s="1"/>
  <c r="H24" i="15"/>
  <c r="F24" i="15"/>
  <c r="F40" i="15" s="1"/>
  <c r="E24" i="15"/>
  <c r="E40" i="15" s="1"/>
  <c r="D24" i="15"/>
  <c r="Y23" i="15"/>
  <c r="AA23" i="15" s="1"/>
  <c r="S23" i="15"/>
  <c r="U23" i="15" s="1"/>
  <c r="M23" i="15"/>
  <c r="O23" i="15" s="1"/>
  <c r="G23" i="15"/>
  <c r="I23" i="15" s="1"/>
  <c r="AA22" i="15"/>
  <c r="AB22" i="15" s="1"/>
  <c r="Y22" i="15"/>
  <c r="U22" i="15"/>
  <c r="S22" i="15"/>
  <c r="O22" i="15"/>
  <c r="M22" i="15"/>
  <c r="I22" i="15"/>
  <c r="G22" i="15"/>
  <c r="Y21" i="15"/>
  <c r="AA21" i="15" s="1"/>
  <c r="S21" i="15"/>
  <c r="U21" i="15" s="1"/>
  <c r="M21" i="15"/>
  <c r="O21" i="15" s="1"/>
  <c r="G21" i="15"/>
  <c r="I21" i="15" s="1"/>
  <c r="AA20" i="15"/>
  <c r="AB20" i="15" s="1"/>
  <c r="Y20" i="15"/>
  <c r="U20" i="15"/>
  <c r="S20" i="15"/>
  <c r="O20" i="15"/>
  <c r="M20" i="15"/>
  <c r="I20" i="15"/>
  <c r="Y19" i="15"/>
  <c r="AA19" i="15" s="1"/>
  <c r="AB19" i="15" s="1"/>
  <c r="U19" i="15"/>
  <c r="S19" i="15"/>
  <c r="O19" i="15"/>
  <c r="M19" i="15"/>
  <c r="I19" i="15"/>
  <c r="G19" i="15"/>
  <c r="Y18" i="15"/>
  <c r="AA18" i="15" s="1"/>
  <c r="AB18" i="15" s="1"/>
  <c r="S18" i="15"/>
  <c r="U18" i="15" s="1"/>
  <c r="M18" i="15"/>
  <c r="O18" i="15" s="1"/>
  <c r="G18" i="15"/>
  <c r="I18" i="15" s="1"/>
  <c r="AA17" i="15"/>
  <c r="AB17" i="15" s="1"/>
  <c r="Y17" i="15"/>
  <c r="U17" i="15"/>
  <c r="S17" i="15"/>
  <c r="O17" i="15"/>
  <c r="M17" i="15"/>
  <c r="I17" i="15"/>
  <c r="G17" i="15"/>
  <c r="Y16" i="15"/>
  <c r="AA16" i="15" s="1"/>
  <c r="AB16" i="15" s="1"/>
  <c r="S16" i="15"/>
  <c r="U16" i="15" s="1"/>
  <c r="M16" i="15"/>
  <c r="O16" i="15" s="1"/>
  <c r="G16" i="15"/>
  <c r="I16" i="15" s="1"/>
  <c r="Y15" i="15"/>
  <c r="AA15" i="15" s="1"/>
  <c r="U15" i="15"/>
  <c r="S15" i="15"/>
  <c r="M15" i="15"/>
  <c r="O15" i="15" s="1"/>
  <c r="I15" i="15"/>
  <c r="I24" i="15" s="1"/>
  <c r="G15" i="15"/>
  <c r="I40" i="15" l="1"/>
  <c r="I41" i="15" s="1"/>
  <c r="AB15" i="15"/>
  <c r="AA24" i="15"/>
  <c r="O24" i="15"/>
  <c r="O40" i="15" s="1"/>
  <c r="O41" i="15" s="1"/>
  <c r="AB21" i="15"/>
  <c r="AB23" i="15"/>
  <c r="I39" i="15"/>
  <c r="U24" i="15"/>
  <c r="U40" i="15" s="1"/>
  <c r="U41" i="15" s="1"/>
  <c r="G24" i="15"/>
  <c r="G40" i="15" s="1"/>
  <c r="S24" i="15"/>
  <c r="S40" i="15" s="1"/>
  <c r="AA39" i="15"/>
  <c r="AB39" i="15" s="1"/>
  <c r="AA40" i="15" l="1"/>
  <c r="AB24" i="15"/>
  <c r="AA41" i="15" l="1"/>
  <c r="AB41" i="15" s="1"/>
  <c r="AB40" i="15"/>
  <c r="Y54" i="14" l="1"/>
  <c r="S54" i="14"/>
  <c r="M54" i="14"/>
  <c r="G54" i="14"/>
  <c r="Y53" i="14"/>
  <c r="S53" i="14"/>
  <c r="M53" i="14"/>
  <c r="G53" i="14"/>
  <c r="Y52" i="14"/>
  <c r="S52" i="14"/>
  <c r="M52" i="14"/>
  <c r="G52" i="14"/>
  <c r="Y51" i="14"/>
  <c r="S51" i="14"/>
  <c r="M51" i="14"/>
  <c r="G51" i="14"/>
  <c r="Y50" i="14"/>
  <c r="X50" i="14"/>
  <c r="W50" i="14"/>
  <c r="V50" i="14"/>
  <c r="R50" i="14"/>
  <c r="Q50" i="14"/>
  <c r="P50" i="14"/>
  <c r="S50" i="14" s="1"/>
  <c r="L50" i="14"/>
  <c r="K50" i="14"/>
  <c r="J50" i="14"/>
  <c r="M50" i="14" s="1"/>
  <c r="F50" i="14"/>
  <c r="E50" i="14"/>
  <c r="D50" i="14"/>
  <c r="G50" i="14" s="1"/>
  <c r="Q40" i="14"/>
  <c r="E40" i="14"/>
  <c r="Z39" i="14"/>
  <c r="X39" i="14"/>
  <c r="W39" i="14"/>
  <c r="V39" i="14"/>
  <c r="Y39" i="14" s="1"/>
  <c r="T39" i="14"/>
  <c r="S39" i="14"/>
  <c r="R39" i="14"/>
  <c r="Q39" i="14"/>
  <c r="P39" i="14"/>
  <c r="N39" i="14"/>
  <c r="L39" i="14"/>
  <c r="J39" i="14"/>
  <c r="H39" i="14"/>
  <c r="G39" i="14"/>
  <c r="F39" i="14"/>
  <c r="E39" i="14"/>
  <c r="D39" i="14"/>
  <c r="AA38" i="14"/>
  <c r="AB38" i="14" s="1"/>
  <c r="Y38" i="14"/>
  <c r="S38" i="14"/>
  <c r="U38" i="14" s="1"/>
  <c r="O38" i="14"/>
  <c r="M38" i="14"/>
  <c r="G38" i="14"/>
  <c r="I38" i="14" s="1"/>
  <c r="AB37" i="14"/>
  <c r="AA37" i="14"/>
  <c r="Y37" i="14"/>
  <c r="S37" i="14"/>
  <c r="U37" i="14" s="1"/>
  <c r="O37" i="14"/>
  <c r="M37" i="14"/>
  <c r="G37" i="14"/>
  <c r="I37" i="14" s="1"/>
  <c r="Y36" i="14"/>
  <c r="AA36" i="14" s="1"/>
  <c r="AB36" i="14" s="1"/>
  <c r="U36" i="14"/>
  <c r="S36" i="14"/>
  <c r="M36" i="14"/>
  <c r="O36" i="14" s="1"/>
  <c r="I36" i="14"/>
  <c r="G36" i="14"/>
  <c r="Y35" i="14"/>
  <c r="AA35" i="14" s="1"/>
  <c r="U35" i="14"/>
  <c r="S35" i="14"/>
  <c r="M35" i="14"/>
  <c r="O35" i="14" s="1"/>
  <c r="I35" i="14"/>
  <c r="G35" i="14"/>
  <c r="AA34" i="14"/>
  <c r="AB34" i="14" s="1"/>
  <c r="Y34" i="14"/>
  <c r="S34" i="14"/>
  <c r="U34" i="14" s="1"/>
  <c r="O34" i="14"/>
  <c r="M34" i="14"/>
  <c r="G34" i="14"/>
  <c r="AA33" i="14"/>
  <c r="AB33" i="14" s="1"/>
  <c r="Y33" i="14"/>
  <c r="S33" i="14"/>
  <c r="U33" i="14" s="1"/>
  <c r="O33" i="14"/>
  <c r="M33" i="14"/>
  <c r="G33" i="14"/>
  <c r="AA32" i="14"/>
  <c r="Y32" i="14"/>
  <c r="W32" i="14"/>
  <c r="S32" i="14"/>
  <c r="U32" i="14" s="1"/>
  <c r="K32" i="14"/>
  <c r="K39" i="14" s="1"/>
  <c r="I32" i="14"/>
  <c r="G32" i="14"/>
  <c r="Y31" i="14"/>
  <c r="AA31" i="14" s="1"/>
  <c r="S31" i="14"/>
  <c r="U31" i="14" s="1"/>
  <c r="M31" i="14"/>
  <c r="O31" i="14" s="1"/>
  <c r="G31" i="14"/>
  <c r="I31" i="14" s="1"/>
  <c r="AA30" i="14"/>
  <c r="AB30" i="14" s="1"/>
  <c r="Y30" i="14"/>
  <c r="S30" i="14"/>
  <c r="U30" i="14" s="1"/>
  <c r="O30" i="14"/>
  <c r="M30" i="14"/>
  <c r="G30" i="14"/>
  <c r="I30" i="14" s="1"/>
  <c r="Y29" i="14"/>
  <c r="AA29" i="14" s="1"/>
  <c r="AB29" i="14" s="1"/>
  <c r="S29" i="14"/>
  <c r="U29" i="14" s="1"/>
  <c r="M29" i="14"/>
  <c r="O29" i="14" s="1"/>
  <c r="G29" i="14"/>
  <c r="I29" i="14" s="1"/>
  <c r="Y28" i="14"/>
  <c r="AA28" i="14" s="1"/>
  <c r="U28" i="14"/>
  <c r="S28" i="14"/>
  <c r="M28" i="14"/>
  <c r="O28" i="14" s="1"/>
  <c r="I28" i="14"/>
  <c r="G28" i="14"/>
  <c r="Z24" i="14"/>
  <c r="Z40" i="14" s="1"/>
  <c r="X24" i="14"/>
  <c r="X40" i="14" s="1"/>
  <c r="W24" i="14"/>
  <c r="W40" i="14" s="1"/>
  <c r="V24" i="14"/>
  <c r="Y24" i="14" s="1"/>
  <c r="Y40" i="14" s="1"/>
  <c r="R24" i="14"/>
  <c r="R40" i="14" s="1"/>
  <c r="Q24" i="14"/>
  <c r="P24" i="14"/>
  <c r="P40" i="14" s="1"/>
  <c r="N24" i="14"/>
  <c r="N40" i="14" s="1"/>
  <c r="L24" i="14"/>
  <c r="L40" i="14" s="1"/>
  <c r="K24" i="14"/>
  <c r="K40" i="14" s="1"/>
  <c r="J24" i="14"/>
  <c r="M24" i="14" s="1"/>
  <c r="H24" i="14"/>
  <c r="H40" i="14" s="1"/>
  <c r="F24" i="14"/>
  <c r="F40" i="14" s="1"/>
  <c r="E24" i="14"/>
  <c r="D24" i="14"/>
  <c r="D40" i="14" s="1"/>
  <c r="AA23" i="14"/>
  <c r="AB23" i="14" s="1"/>
  <c r="Y23" i="14"/>
  <c r="S23" i="14"/>
  <c r="U23" i="14" s="1"/>
  <c r="O23" i="14"/>
  <c r="M23" i="14"/>
  <c r="G23" i="14"/>
  <c r="I23" i="14" s="1"/>
  <c r="Y22" i="14"/>
  <c r="AA22" i="14" s="1"/>
  <c r="AB22" i="14" s="1"/>
  <c r="S22" i="14"/>
  <c r="U22" i="14" s="1"/>
  <c r="M22" i="14"/>
  <c r="O22" i="14" s="1"/>
  <c r="G22" i="14"/>
  <c r="I22" i="14" s="1"/>
  <c r="Y21" i="14"/>
  <c r="AA21" i="14" s="1"/>
  <c r="U21" i="14"/>
  <c r="T21" i="14"/>
  <c r="T24" i="14" s="1"/>
  <c r="T40" i="14" s="1"/>
  <c r="S21" i="14"/>
  <c r="M21" i="14"/>
  <c r="O21" i="14" s="1"/>
  <c r="G21" i="14"/>
  <c r="I21" i="14" s="1"/>
  <c r="AA20" i="14"/>
  <c r="AB20" i="14" s="1"/>
  <c r="Y20" i="14"/>
  <c r="S20" i="14"/>
  <c r="U20" i="14" s="1"/>
  <c r="O20" i="14"/>
  <c r="M20" i="14"/>
  <c r="G20" i="14"/>
  <c r="I20" i="14" s="1"/>
  <c r="Y19" i="14"/>
  <c r="AA19" i="14" s="1"/>
  <c r="AB19" i="14" s="1"/>
  <c r="S19" i="14"/>
  <c r="U19" i="14" s="1"/>
  <c r="M19" i="14"/>
  <c r="O19" i="14" s="1"/>
  <c r="G19" i="14"/>
  <c r="I19" i="14" s="1"/>
  <c r="Y18" i="14"/>
  <c r="AA18" i="14" s="1"/>
  <c r="AB18" i="14" s="1"/>
  <c r="U18" i="14"/>
  <c r="S18" i="14"/>
  <c r="M18" i="14"/>
  <c r="O18" i="14" s="1"/>
  <c r="I18" i="14"/>
  <c r="G18" i="14"/>
  <c r="Y17" i="14"/>
  <c r="AA17" i="14" s="1"/>
  <c r="S17" i="14"/>
  <c r="U17" i="14" s="1"/>
  <c r="M17" i="14"/>
  <c r="O17" i="14" s="1"/>
  <c r="G17" i="14"/>
  <c r="I17" i="14" s="1"/>
  <c r="AA16" i="14"/>
  <c r="AB16" i="14" s="1"/>
  <c r="Y16" i="14"/>
  <c r="S16" i="14"/>
  <c r="U16" i="14" s="1"/>
  <c r="O16" i="14"/>
  <c r="M16" i="14"/>
  <c r="G16" i="14"/>
  <c r="I16" i="14" s="1"/>
  <c r="Y15" i="14"/>
  <c r="AA15" i="14" s="1"/>
  <c r="S15" i="14"/>
  <c r="U15" i="14" s="1"/>
  <c r="M15" i="14"/>
  <c r="O15" i="14" s="1"/>
  <c r="G15" i="14"/>
  <c r="I15" i="14" s="1"/>
  <c r="O24" i="14" l="1"/>
  <c r="I39" i="14"/>
  <c r="AA39" i="14"/>
  <c r="AB35" i="14"/>
  <c r="AB17" i="14"/>
  <c r="U24" i="14"/>
  <c r="U40" i="14" s="1"/>
  <c r="U41" i="14" s="1"/>
  <c r="AB28" i="14"/>
  <c r="M39" i="14"/>
  <c r="M40" i="14" s="1"/>
  <c r="AB15" i="14"/>
  <c r="AA24" i="14"/>
  <c r="AB21" i="14"/>
  <c r="I24" i="14"/>
  <c r="I40" i="14" s="1"/>
  <c r="I41" i="14" s="1"/>
  <c r="AB31" i="14"/>
  <c r="U39" i="14"/>
  <c r="G24" i="14"/>
  <c r="G40" i="14" s="1"/>
  <c r="V40" i="14"/>
  <c r="M32" i="14"/>
  <c r="O32" i="14" s="1"/>
  <c r="O39" i="14" s="1"/>
  <c r="S24" i="14"/>
  <c r="S40" i="14" s="1"/>
  <c r="J40" i="14"/>
  <c r="AA40" i="14" l="1"/>
  <c r="AB24" i="14"/>
  <c r="AB39" i="14"/>
  <c r="AB32" i="14"/>
  <c r="O40" i="14"/>
  <c r="O41" i="14" s="1"/>
  <c r="AA41" i="14" l="1"/>
  <c r="AB41" i="14" s="1"/>
  <c r="AB40" i="14"/>
  <c r="Y54" i="13" l="1"/>
  <c r="AA54" i="13" s="1"/>
  <c r="U54" i="13"/>
  <c r="O54" i="13"/>
  <c r="G54" i="13"/>
  <c r="AA53" i="13"/>
  <c r="U53" i="13"/>
  <c r="O53" i="13"/>
  <c r="G53" i="13"/>
  <c r="AA52" i="13"/>
  <c r="U52" i="13"/>
  <c r="O52" i="13"/>
  <c r="G52" i="13"/>
  <c r="AA51" i="13"/>
  <c r="U51" i="13"/>
  <c r="O51" i="13"/>
  <c r="O50" i="13" s="1"/>
  <c r="E51" i="13"/>
  <c r="G51" i="13" s="1"/>
  <c r="Z50" i="13"/>
  <c r="X50" i="13"/>
  <c r="T50" i="13"/>
  <c r="S50" i="13"/>
  <c r="R50" i="13"/>
  <c r="U50" i="13" s="1"/>
  <c r="N50" i="13"/>
  <c r="M50" i="13"/>
  <c r="L50" i="13"/>
  <c r="F50" i="13"/>
  <c r="D50" i="13"/>
  <c r="Y39" i="13"/>
  <c r="V39" i="13"/>
  <c r="V40" i="13" s="1"/>
  <c r="U39" i="13"/>
  <c r="T39" i="13"/>
  <c r="S39" i="13"/>
  <c r="R39" i="13"/>
  <c r="R40" i="13" s="1"/>
  <c r="P39" i="13"/>
  <c r="N39" i="13"/>
  <c r="N40" i="13" s="1"/>
  <c r="M39" i="13"/>
  <c r="O39" i="13" s="1"/>
  <c r="L39" i="13"/>
  <c r="J39" i="13"/>
  <c r="J40" i="13" s="1"/>
  <c r="Y38" i="13"/>
  <c r="X38" i="13"/>
  <c r="AA38" i="13" s="1"/>
  <c r="AC38" i="13" s="1"/>
  <c r="U38" i="13"/>
  <c r="W38" i="13" s="1"/>
  <c r="O38" i="13"/>
  <c r="Q38" i="13" s="1"/>
  <c r="AD38" i="13" s="1"/>
  <c r="E38" i="13"/>
  <c r="D38" i="13"/>
  <c r="AA37" i="13"/>
  <c r="AC37" i="13" s="1"/>
  <c r="W37" i="13"/>
  <c r="U37" i="13"/>
  <c r="O37" i="13"/>
  <c r="Q37" i="13" s="1"/>
  <c r="K37" i="13"/>
  <c r="G37" i="13"/>
  <c r="AA36" i="13"/>
  <c r="AC36" i="13" s="1"/>
  <c r="AD36" i="13" s="1"/>
  <c r="U36" i="13"/>
  <c r="W36" i="13" s="1"/>
  <c r="O36" i="13"/>
  <c r="Q36" i="13" s="1"/>
  <c r="G36" i="13"/>
  <c r="K36" i="13" s="1"/>
  <c r="Y35" i="13"/>
  <c r="X35" i="13"/>
  <c r="W35" i="13"/>
  <c r="U35" i="13"/>
  <c r="O35" i="13"/>
  <c r="Q35" i="13" s="1"/>
  <c r="Q39" i="13" s="1"/>
  <c r="E35" i="13"/>
  <c r="G35" i="13" s="1"/>
  <c r="K35" i="13" s="1"/>
  <c r="AC34" i="13"/>
  <c r="Y34" i="13"/>
  <c r="X34" i="13"/>
  <c r="AA34" i="13" s="1"/>
  <c r="W34" i="13"/>
  <c r="U34" i="13"/>
  <c r="O34" i="13"/>
  <c r="Q34" i="13" s="1"/>
  <c r="E34" i="13"/>
  <c r="G34" i="13" s="1"/>
  <c r="K34" i="13" s="1"/>
  <c r="Y33" i="13"/>
  <c r="AA33" i="13" s="1"/>
  <c r="AC33" i="13" s="1"/>
  <c r="AD33" i="13" s="1"/>
  <c r="U33" i="13"/>
  <c r="W33" i="13" s="1"/>
  <c r="O33" i="13"/>
  <c r="Q33" i="13" s="1"/>
  <c r="G33" i="13"/>
  <c r="K33" i="13" s="1"/>
  <c r="E33" i="13"/>
  <c r="AB32" i="13"/>
  <c r="AB39" i="13" s="1"/>
  <c r="Z32" i="13"/>
  <c r="Z39" i="13" s="1"/>
  <c r="Z40" i="13" s="1"/>
  <c r="Y32" i="13"/>
  <c r="X32" i="13"/>
  <c r="AA32" i="13" s="1"/>
  <c r="AC32" i="13" s="1"/>
  <c r="U32" i="13"/>
  <c r="W32" i="13" s="1"/>
  <c r="O32" i="13"/>
  <c r="Q32" i="13" s="1"/>
  <c r="F32" i="13"/>
  <c r="F39" i="13" s="1"/>
  <c r="E32" i="13"/>
  <c r="G32" i="13" s="1"/>
  <c r="K32" i="13" s="1"/>
  <c r="D32" i="13"/>
  <c r="AA31" i="13"/>
  <c r="AC31" i="13" s="1"/>
  <c r="Y31" i="13"/>
  <c r="X31" i="13"/>
  <c r="U31" i="13"/>
  <c r="W31" i="13" s="1"/>
  <c r="O31" i="13"/>
  <c r="Q31" i="13" s="1"/>
  <c r="G31" i="13"/>
  <c r="K31" i="13" s="1"/>
  <c r="X30" i="13"/>
  <c r="AA30" i="13" s="1"/>
  <c r="AC30" i="13" s="1"/>
  <c r="U30" i="13"/>
  <c r="W30" i="13" s="1"/>
  <c r="O30" i="13"/>
  <c r="Q30" i="13" s="1"/>
  <c r="G30" i="13"/>
  <c r="K30" i="13" s="1"/>
  <c r="Y29" i="13"/>
  <c r="X29" i="13"/>
  <c r="AA29" i="13" s="1"/>
  <c r="AC29" i="13" s="1"/>
  <c r="AD29" i="13" s="1"/>
  <c r="W29" i="13"/>
  <c r="U29" i="13"/>
  <c r="O29" i="13"/>
  <c r="Q29" i="13" s="1"/>
  <c r="K29" i="13"/>
  <c r="E29" i="13"/>
  <c r="G29" i="13" s="1"/>
  <c r="AC28" i="13"/>
  <c r="AD28" i="13" s="1"/>
  <c r="X28" i="13"/>
  <c r="AA28" i="13" s="1"/>
  <c r="U28" i="13"/>
  <c r="W28" i="13" s="1"/>
  <c r="O28" i="13"/>
  <c r="Q28" i="13" s="1"/>
  <c r="K28" i="13"/>
  <c r="G28" i="13"/>
  <c r="AB24" i="13"/>
  <c r="AB40" i="13" s="1"/>
  <c r="Z24" i="13"/>
  <c r="V24" i="13"/>
  <c r="T24" i="13"/>
  <c r="T40" i="13" s="1"/>
  <c r="S24" i="13"/>
  <c r="R24" i="13"/>
  <c r="P24" i="13"/>
  <c r="P40" i="13" s="1"/>
  <c r="O24" i="13"/>
  <c r="O40" i="13" s="1"/>
  <c r="N24" i="13"/>
  <c r="M24" i="13"/>
  <c r="M40" i="13" s="1"/>
  <c r="L24" i="13"/>
  <c r="L40" i="13" s="1"/>
  <c r="J24" i="13"/>
  <c r="F24" i="13"/>
  <c r="F40" i="13" s="1"/>
  <c r="E24" i="13"/>
  <c r="AC23" i="13"/>
  <c r="AA23" i="13"/>
  <c r="U23" i="13"/>
  <c r="W23" i="13" s="1"/>
  <c r="O23" i="13"/>
  <c r="Q23" i="13" s="1"/>
  <c r="G23" i="13"/>
  <c r="K23" i="13" s="1"/>
  <c r="AC22" i="13"/>
  <c r="AA22" i="13"/>
  <c r="U22" i="13"/>
  <c r="W22" i="13" s="1"/>
  <c r="Q22" i="13"/>
  <c r="AD22" i="13" s="1"/>
  <c r="O22" i="13"/>
  <c r="K22" i="13"/>
  <c r="G22" i="13"/>
  <c r="AA21" i="13"/>
  <c r="AC21" i="13" s="1"/>
  <c r="W21" i="13"/>
  <c r="U21" i="13"/>
  <c r="O21" i="13"/>
  <c r="Q21" i="13" s="1"/>
  <c r="AD21" i="13" s="1"/>
  <c r="G21" i="13"/>
  <c r="K21" i="13" s="1"/>
  <c r="AA20" i="13"/>
  <c r="AC20" i="13" s="1"/>
  <c r="AD20" i="13" s="1"/>
  <c r="W20" i="13"/>
  <c r="U20" i="13"/>
  <c r="O20" i="13"/>
  <c r="Q20" i="13" s="1"/>
  <c r="K20" i="13"/>
  <c r="G20" i="13"/>
  <c r="AC19" i="13"/>
  <c r="AA19" i="13"/>
  <c r="U19" i="13"/>
  <c r="W19" i="13" s="1"/>
  <c r="O19" i="13"/>
  <c r="Q19" i="13" s="1"/>
  <c r="G19" i="13"/>
  <c r="K19" i="13" s="1"/>
  <c r="Y18" i="13"/>
  <c r="U18" i="13"/>
  <c r="W18" i="13" s="1"/>
  <c r="O18" i="13"/>
  <c r="Q18" i="13" s="1"/>
  <c r="K18" i="13"/>
  <c r="G18" i="13"/>
  <c r="E18" i="13"/>
  <c r="AC17" i="13"/>
  <c r="AD17" i="13" s="1"/>
  <c r="AA17" i="13"/>
  <c r="X17" i="13"/>
  <c r="U17" i="13"/>
  <c r="W17" i="13" s="1"/>
  <c r="Q17" i="13"/>
  <c r="O17" i="13"/>
  <c r="G17" i="13"/>
  <c r="K17" i="13" s="1"/>
  <c r="D17" i="13"/>
  <c r="D24" i="13" s="1"/>
  <c r="X16" i="13"/>
  <c r="X24" i="13" s="1"/>
  <c r="U16" i="13"/>
  <c r="W16" i="13" s="1"/>
  <c r="Q16" i="13"/>
  <c r="O16" i="13"/>
  <c r="G16" i="13"/>
  <c r="K16" i="13" s="1"/>
  <c r="AB15" i="13"/>
  <c r="AA15" i="13"/>
  <c r="AC15" i="13" s="1"/>
  <c r="U15" i="13"/>
  <c r="W15" i="13" s="1"/>
  <c r="W24" i="13" s="1"/>
  <c r="O15" i="13"/>
  <c r="Q15" i="13" s="1"/>
  <c r="K15" i="13"/>
  <c r="G15" i="13"/>
  <c r="F15" i="13"/>
  <c r="AA24" i="13" l="1"/>
  <c r="AA40" i="13" s="1"/>
  <c r="AD15" i="13"/>
  <c r="K24" i="13"/>
  <c r="AD19" i="13"/>
  <c r="AA18" i="13"/>
  <c r="AC18" i="13" s="1"/>
  <c r="AD18" i="13" s="1"/>
  <c r="Y24" i="13"/>
  <c r="Y40" i="13" s="1"/>
  <c r="AD31" i="13"/>
  <c r="W39" i="13"/>
  <c r="W40" i="13" s="1"/>
  <c r="W41" i="13" s="1"/>
  <c r="Q24" i="13"/>
  <c r="Q40" i="13" s="1"/>
  <c r="Q41" i="13" s="1"/>
  <c r="AA16" i="13"/>
  <c r="AC16" i="13" s="1"/>
  <c r="AD16" i="13" s="1"/>
  <c r="S40" i="13"/>
  <c r="U24" i="13"/>
  <c r="U40" i="13" s="1"/>
  <c r="X39" i="13"/>
  <c r="AA39" i="13" s="1"/>
  <c r="AD37" i="13"/>
  <c r="AD23" i="13"/>
  <c r="AD30" i="13"/>
  <c r="AD32" i="13"/>
  <c r="D39" i="13"/>
  <c r="G38" i="13"/>
  <c r="K38" i="13" s="1"/>
  <c r="K39" i="13" s="1"/>
  <c r="G24" i="13"/>
  <c r="E40" i="13"/>
  <c r="AD34" i="13"/>
  <c r="E39" i="13"/>
  <c r="AA35" i="13"/>
  <c r="AC35" i="13" s="1"/>
  <c r="E50" i="13"/>
  <c r="G50" i="13" s="1"/>
  <c r="Y50" i="13"/>
  <c r="AA50" i="13" s="1"/>
  <c r="G39" i="13" l="1"/>
  <c r="X40" i="13"/>
  <c r="AD35" i="13"/>
  <c r="AC39" i="13"/>
  <c r="AD39" i="13" s="1"/>
  <c r="G40" i="13"/>
  <c r="K40" i="13"/>
  <c r="K41" i="13" s="1"/>
  <c r="D40" i="13"/>
  <c r="AC24" i="13"/>
  <c r="AC40" i="13" l="1"/>
  <c r="AD24" i="13"/>
  <c r="AC41" i="13" l="1"/>
  <c r="AD41" i="13" s="1"/>
  <c r="AD40" i="13"/>
  <c r="V54" i="12" l="1"/>
  <c r="Y54" i="12" s="1"/>
  <c r="S54" i="12"/>
  <c r="M54" i="12"/>
  <c r="G54" i="12"/>
  <c r="Y53" i="12"/>
  <c r="G53" i="12"/>
  <c r="S52" i="12"/>
  <c r="V52" i="12" s="1"/>
  <c r="Y52" i="12" s="1"/>
  <c r="M52" i="12"/>
  <c r="G52" i="12"/>
  <c r="V51" i="12"/>
  <c r="Y51" i="12" s="1"/>
  <c r="S51" i="12"/>
  <c r="M51" i="12"/>
  <c r="G51" i="12"/>
  <c r="G50" i="12"/>
  <c r="Z39" i="12"/>
  <c r="X39" i="12"/>
  <c r="W39" i="12"/>
  <c r="Y39" i="12" s="1"/>
  <c r="V39" i="12"/>
  <c r="T39" i="12"/>
  <c r="S39" i="12"/>
  <c r="R39" i="12"/>
  <c r="Q39" i="12"/>
  <c r="P39" i="12"/>
  <c r="N39" i="12"/>
  <c r="L39" i="12"/>
  <c r="K39" i="12"/>
  <c r="M39" i="12" s="1"/>
  <c r="J39" i="12"/>
  <c r="H39" i="12"/>
  <c r="G39" i="12"/>
  <c r="F39" i="12"/>
  <c r="E39" i="12"/>
  <c r="D39" i="12"/>
  <c r="Y38" i="12"/>
  <c r="AA38" i="12" s="1"/>
  <c r="AB38" i="12" s="1"/>
  <c r="U38" i="12"/>
  <c r="O38" i="12"/>
  <c r="M38" i="12"/>
  <c r="I38" i="12"/>
  <c r="G38" i="12"/>
  <c r="Y37" i="12"/>
  <c r="AA37" i="12" s="1"/>
  <c r="S37" i="12"/>
  <c r="U37" i="12" s="1"/>
  <c r="M37" i="12"/>
  <c r="O37" i="12" s="1"/>
  <c r="G37" i="12"/>
  <c r="I37" i="12" s="1"/>
  <c r="AA36" i="12"/>
  <c r="AB36" i="12" s="1"/>
  <c r="Y36" i="12"/>
  <c r="U36" i="12"/>
  <c r="S36" i="12"/>
  <c r="O36" i="12"/>
  <c r="M36" i="12"/>
  <c r="I36" i="12"/>
  <c r="G36" i="12"/>
  <c r="Y35" i="12"/>
  <c r="AA35" i="12" s="1"/>
  <c r="S35" i="12"/>
  <c r="U35" i="12" s="1"/>
  <c r="M35" i="12"/>
  <c r="O35" i="12" s="1"/>
  <c r="G35" i="12"/>
  <c r="I35" i="12" s="1"/>
  <c r="AA34" i="12"/>
  <c r="AB34" i="12" s="1"/>
  <c r="Y34" i="12"/>
  <c r="U34" i="12"/>
  <c r="S34" i="12"/>
  <c r="O34" i="12"/>
  <c r="M34" i="12"/>
  <c r="I34" i="12"/>
  <c r="G34" i="12"/>
  <c r="Y33" i="12"/>
  <c r="AA33" i="12" s="1"/>
  <c r="S33" i="12"/>
  <c r="U33" i="12" s="1"/>
  <c r="M33" i="12"/>
  <c r="O33" i="12" s="1"/>
  <c r="G33" i="12"/>
  <c r="I33" i="12" s="1"/>
  <c r="AA32" i="12"/>
  <c r="AB32" i="12" s="1"/>
  <c r="Y32" i="12"/>
  <c r="U32" i="12"/>
  <c r="S32" i="12"/>
  <c r="O32" i="12"/>
  <c r="M32" i="12"/>
  <c r="I32" i="12"/>
  <c r="G32" i="12"/>
  <c r="Y31" i="12"/>
  <c r="AA31" i="12" s="1"/>
  <c r="S31" i="12"/>
  <c r="U31" i="12" s="1"/>
  <c r="M31" i="12"/>
  <c r="O31" i="12" s="1"/>
  <c r="G31" i="12"/>
  <c r="I31" i="12" s="1"/>
  <c r="AA30" i="12"/>
  <c r="AB30" i="12" s="1"/>
  <c r="Y30" i="12"/>
  <c r="U30" i="12"/>
  <c r="S30" i="12"/>
  <c r="O30" i="12"/>
  <c r="M30" i="12"/>
  <c r="I30" i="12"/>
  <c r="G30" i="12"/>
  <c r="Y29" i="12"/>
  <c r="AA29" i="12" s="1"/>
  <c r="S29" i="12"/>
  <c r="U29" i="12" s="1"/>
  <c r="M29" i="12"/>
  <c r="O29" i="12" s="1"/>
  <c r="G29" i="12"/>
  <c r="I29" i="12" s="1"/>
  <c r="AA28" i="12"/>
  <c r="AB28" i="12" s="1"/>
  <c r="Y28" i="12"/>
  <c r="U28" i="12"/>
  <c r="S28" i="12"/>
  <c r="O28" i="12"/>
  <c r="M28" i="12"/>
  <c r="I28" i="12"/>
  <c r="G28" i="12"/>
  <c r="Z24" i="12"/>
  <c r="Z40" i="12" s="1"/>
  <c r="X24" i="12"/>
  <c r="X40" i="12" s="1"/>
  <c r="W24" i="12"/>
  <c r="W40" i="12" s="1"/>
  <c r="V24" i="12"/>
  <c r="V40" i="12" s="1"/>
  <c r="T24" i="12"/>
  <c r="T40" i="12" s="1"/>
  <c r="R24" i="12"/>
  <c r="R40" i="12" s="1"/>
  <c r="Q24" i="12"/>
  <c r="Q40" i="12" s="1"/>
  <c r="P24" i="12"/>
  <c r="S24" i="12" s="1"/>
  <c r="S40" i="12" s="1"/>
  <c r="N24" i="12"/>
  <c r="N40" i="12" s="1"/>
  <c r="L24" i="12"/>
  <c r="L40" i="12" s="1"/>
  <c r="K24" i="12"/>
  <c r="K40" i="12" s="1"/>
  <c r="J24" i="12"/>
  <c r="J40" i="12" s="1"/>
  <c r="H24" i="12"/>
  <c r="H40" i="12" s="1"/>
  <c r="F24" i="12"/>
  <c r="F40" i="12" s="1"/>
  <c r="E24" i="12"/>
  <c r="E40" i="12" s="1"/>
  <c r="D24" i="12"/>
  <c r="G24" i="12" s="1"/>
  <c r="G40" i="12" s="1"/>
  <c r="AA23" i="12"/>
  <c r="AB23" i="12" s="1"/>
  <c r="Y23" i="12"/>
  <c r="U23" i="12"/>
  <c r="S23" i="12"/>
  <c r="O23" i="12"/>
  <c r="M23" i="12"/>
  <c r="I23" i="12"/>
  <c r="G23" i="12"/>
  <c r="Y22" i="12"/>
  <c r="AA22" i="12" s="1"/>
  <c r="S22" i="12"/>
  <c r="U22" i="12" s="1"/>
  <c r="M22" i="12"/>
  <c r="O22" i="12" s="1"/>
  <c r="G22" i="12"/>
  <c r="I22" i="12" s="1"/>
  <c r="AA21" i="12"/>
  <c r="AB21" i="12" s="1"/>
  <c r="Y21" i="12"/>
  <c r="U21" i="12"/>
  <c r="S21" i="12"/>
  <c r="O21" i="12"/>
  <c r="M21" i="12"/>
  <c r="I21" i="12"/>
  <c r="G21" i="12"/>
  <c r="Y20" i="12"/>
  <c r="AA20" i="12" s="1"/>
  <c r="S20" i="12"/>
  <c r="U20" i="12" s="1"/>
  <c r="M20" i="12"/>
  <c r="O20" i="12" s="1"/>
  <c r="AA19" i="12"/>
  <c r="AB19" i="12" s="1"/>
  <c r="Y19" i="12"/>
  <c r="U19" i="12"/>
  <c r="S19" i="12"/>
  <c r="O19" i="12"/>
  <c r="M19" i="12"/>
  <c r="I19" i="12"/>
  <c r="G19" i="12"/>
  <c r="Y18" i="12"/>
  <c r="AA18" i="12" s="1"/>
  <c r="AB18" i="12" s="1"/>
  <c r="S18" i="12"/>
  <c r="U18" i="12" s="1"/>
  <c r="M18" i="12"/>
  <c r="O18" i="12" s="1"/>
  <c r="G18" i="12"/>
  <c r="I18" i="12" s="1"/>
  <c r="AA17" i="12"/>
  <c r="AB17" i="12" s="1"/>
  <c r="Y17" i="12"/>
  <c r="U17" i="12"/>
  <c r="S17" i="12"/>
  <c r="O17" i="12"/>
  <c r="M17" i="12"/>
  <c r="I17" i="12"/>
  <c r="G17" i="12"/>
  <c r="Y16" i="12"/>
  <c r="AA16" i="12" s="1"/>
  <c r="AB16" i="12" s="1"/>
  <c r="S16" i="12"/>
  <c r="U16" i="12" s="1"/>
  <c r="M16" i="12"/>
  <c r="O16" i="12" s="1"/>
  <c r="G16" i="12"/>
  <c r="I16" i="12" s="1"/>
  <c r="AA15" i="12"/>
  <c r="AA24" i="12" s="1"/>
  <c r="Y15" i="12"/>
  <c r="U15" i="12"/>
  <c r="U24" i="12" s="1"/>
  <c r="S15" i="12"/>
  <c r="O15" i="12"/>
  <c r="O24" i="12" s="1"/>
  <c r="M15" i="12"/>
  <c r="I15" i="12"/>
  <c r="G15" i="12"/>
  <c r="AB24" i="12" l="1"/>
  <c r="I39" i="12"/>
  <c r="O39" i="12"/>
  <c r="O40" i="12" s="1"/>
  <c r="O41" i="12" s="1"/>
  <c r="I24" i="12"/>
  <c r="I40" i="12" s="1"/>
  <c r="I41" i="12" s="1"/>
  <c r="U39" i="12"/>
  <c r="U40" i="12" s="1"/>
  <c r="U41" i="12" s="1"/>
  <c r="AB20" i="12"/>
  <c r="AB22" i="12"/>
  <c r="AB29" i="12"/>
  <c r="AB31" i="12"/>
  <c r="AB33" i="12"/>
  <c r="AA39" i="12"/>
  <c r="AB39" i="12" s="1"/>
  <c r="AB35" i="12"/>
  <c r="AB37" i="12"/>
  <c r="D40" i="12"/>
  <c r="P40" i="12"/>
  <c r="AB15" i="12"/>
  <c r="M24" i="12"/>
  <c r="M40" i="12" s="1"/>
  <c r="Y24" i="12"/>
  <c r="Y40" i="12" s="1"/>
  <c r="AA40" i="12" l="1"/>
  <c r="AA41" i="12" l="1"/>
  <c r="AB41" i="12" s="1"/>
  <c r="AB40" i="12"/>
  <c r="Y54" i="11" l="1"/>
  <c r="S54" i="11"/>
  <c r="M54" i="11"/>
  <c r="G54" i="11"/>
  <c r="Y53" i="11"/>
  <c r="S53" i="11"/>
  <c r="M53" i="11"/>
  <c r="G53" i="11"/>
  <c r="Y52" i="11"/>
  <c r="S52" i="11"/>
  <c r="M52" i="11"/>
  <c r="G52" i="11"/>
  <c r="Y51" i="11"/>
  <c r="S51" i="11"/>
  <c r="M51" i="11"/>
  <c r="G51" i="11"/>
  <c r="X50" i="11"/>
  <c r="W50" i="11"/>
  <c r="V50" i="11"/>
  <c r="Y50" i="11" s="1"/>
  <c r="R50" i="11"/>
  <c r="Q50" i="11"/>
  <c r="P50" i="11"/>
  <c r="S50" i="11" s="1"/>
  <c r="L50" i="11"/>
  <c r="K50" i="11"/>
  <c r="J50" i="11"/>
  <c r="M50" i="11" s="1"/>
  <c r="F50" i="11"/>
  <c r="E50" i="11"/>
  <c r="D50" i="11"/>
  <c r="G50" i="11" s="1"/>
  <c r="X40" i="11"/>
  <c r="T40" i="11"/>
  <c r="P40" i="11"/>
  <c r="L40" i="11"/>
  <c r="H40" i="11"/>
  <c r="D40" i="11"/>
  <c r="Z39" i="11"/>
  <c r="Y39" i="11"/>
  <c r="X39" i="11"/>
  <c r="W39" i="11"/>
  <c r="V39" i="11"/>
  <c r="T39" i="11"/>
  <c r="R39" i="11"/>
  <c r="Q39" i="11"/>
  <c r="S39" i="11" s="1"/>
  <c r="P39" i="11"/>
  <c r="N39" i="11"/>
  <c r="M39" i="11"/>
  <c r="L39" i="11"/>
  <c r="K39" i="11"/>
  <c r="J39" i="11"/>
  <c r="H39" i="11"/>
  <c r="F39" i="11"/>
  <c r="E39" i="11"/>
  <c r="G39" i="11" s="1"/>
  <c r="D39" i="11"/>
  <c r="Y38" i="11"/>
  <c r="AA38" i="11" s="1"/>
  <c r="AB38" i="11" s="1"/>
  <c r="S38" i="11"/>
  <c r="U38" i="11" s="1"/>
  <c r="M38" i="11"/>
  <c r="O38" i="11" s="1"/>
  <c r="G38" i="11"/>
  <c r="I38" i="11" s="1"/>
  <c r="AA37" i="11"/>
  <c r="AB37" i="11" s="1"/>
  <c r="Y37" i="11"/>
  <c r="S37" i="11"/>
  <c r="U37" i="11" s="1"/>
  <c r="O37" i="11"/>
  <c r="M37" i="11"/>
  <c r="G37" i="11"/>
  <c r="I37" i="11" s="1"/>
  <c r="Y36" i="11"/>
  <c r="AA36" i="11" s="1"/>
  <c r="S36" i="11"/>
  <c r="U36" i="11" s="1"/>
  <c r="M36" i="11"/>
  <c r="O36" i="11" s="1"/>
  <c r="G36" i="11"/>
  <c r="I36" i="11" s="1"/>
  <c r="Y35" i="11"/>
  <c r="AA35" i="11" s="1"/>
  <c r="U35" i="11"/>
  <c r="S35" i="11"/>
  <c r="M35" i="11"/>
  <c r="O35" i="11" s="1"/>
  <c r="I35" i="11"/>
  <c r="G35" i="11"/>
  <c r="Y34" i="11"/>
  <c r="AA34" i="11" s="1"/>
  <c r="AB34" i="11" s="1"/>
  <c r="S34" i="11"/>
  <c r="U34" i="11" s="1"/>
  <c r="M34" i="11"/>
  <c r="O34" i="11" s="1"/>
  <c r="G34" i="11"/>
  <c r="I34" i="11" s="1"/>
  <c r="AA33" i="11"/>
  <c r="AB33" i="11" s="1"/>
  <c r="Y33" i="11"/>
  <c r="S33" i="11"/>
  <c r="U33" i="11" s="1"/>
  <c r="O33" i="11"/>
  <c r="M33" i="11"/>
  <c r="G33" i="11"/>
  <c r="I33" i="11" s="1"/>
  <c r="Y32" i="11"/>
  <c r="AA32" i="11" s="1"/>
  <c r="S32" i="11"/>
  <c r="U32" i="11" s="1"/>
  <c r="M32" i="11"/>
  <c r="O32" i="11" s="1"/>
  <c r="G32" i="11"/>
  <c r="I32" i="11" s="1"/>
  <c r="Y31" i="11"/>
  <c r="AA31" i="11" s="1"/>
  <c r="U31" i="11"/>
  <c r="S31" i="11"/>
  <c r="M31" i="11"/>
  <c r="O31" i="11" s="1"/>
  <c r="I31" i="11"/>
  <c r="G31" i="11"/>
  <c r="Y30" i="11"/>
  <c r="AA30" i="11" s="1"/>
  <c r="AB30" i="11" s="1"/>
  <c r="S30" i="11"/>
  <c r="U30" i="11" s="1"/>
  <c r="M30" i="11"/>
  <c r="O30" i="11" s="1"/>
  <c r="G30" i="11"/>
  <c r="I30" i="11" s="1"/>
  <c r="AA29" i="11"/>
  <c r="AB29" i="11" s="1"/>
  <c r="Y29" i="11"/>
  <c r="S29" i="11"/>
  <c r="U29" i="11" s="1"/>
  <c r="O29" i="11"/>
  <c r="M29" i="11"/>
  <c r="G29" i="11"/>
  <c r="I29" i="11" s="1"/>
  <c r="Y28" i="11"/>
  <c r="AA28" i="11" s="1"/>
  <c r="S28" i="11"/>
  <c r="U28" i="11" s="1"/>
  <c r="M28" i="11"/>
  <c r="O28" i="11" s="1"/>
  <c r="G28" i="11"/>
  <c r="I28" i="11" s="1"/>
  <c r="Z24" i="11"/>
  <c r="Z40" i="11" s="1"/>
  <c r="Y24" i="11"/>
  <c r="Y40" i="11" s="1"/>
  <c r="X24" i="11"/>
  <c r="W24" i="11"/>
  <c r="W40" i="11" s="1"/>
  <c r="V24" i="11"/>
  <c r="V40" i="11" s="1"/>
  <c r="T24" i="11"/>
  <c r="R24" i="11"/>
  <c r="R40" i="11" s="1"/>
  <c r="Q24" i="11"/>
  <c r="Q40" i="11" s="1"/>
  <c r="P24" i="11"/>
  <c r="N24" i="11"/>
  <c r="N40" i="11" s="1"/>
  <c r="M24" i="11"/>
  <c r="M40" i="11" s="1"/>
  <c r="L24" i="11"/>
  <c r="K24" i="11"/>
  <c r="K40" i="11" s="1"/>
  <c r="J24" i="11"/>
  <c r="J40" i="11" s="1"/>
  <c r="H24" i="11"/>
  <c r="F24" i="11"/>
  <c r="F40" i="11" s="1"/>
  <c r="E24" i="11"/>
  <c r="E40" i="11" s="1"/>
  <c r="D24" i="11"/>
  <c r="Y23" i="11"/>
  <c r="AA23" i="11" s="1"/>
  <c r="AB23" i="11" s="1"/>
  <c r="S23" i="11"/>
  <c r="U23" i="11" s="1"/>
  <c r="M23" i="11"/>
  <c r="O23" i="11" s="1"/>
  <c r="G23" i="11"/>
  <c r="I23" i="11" s="1"/>
  <c r="AA22" i="11"/>
  <c r="AB22" i="11" s="1"/>
  <c r="Y22" i="11"/>
  <c r="S22" i="11"/>
  <c r="U22" i="11" s="1"/>
  <c r="O22" i="11"/>
  <c r="M22" i="11"/>
  <c r="G22" i="11"/>
  <c r="I22" i="11" s="1"/>
  <c r="Y21" i="11"/>
  <c r="AA21" i="11" s="1"/>
  <c r="S21" i="11"/>
  <c r="U21" i="11" s="1"/>
  <c r="M21" i="11"/>
  <c r="O21" i="11" s="1"/>
  <c r="G21" i="11"/>
  <c r="I21" i="11" s="1"/>
  <c r="Y20" i="11"/>
  <c r="AA20" i="11" s="1"/>
  <c r="U20" i="11"/>
  <c r="S20" i="11"/>
  <c r="M20" i="11"/>
  <c r="O20" i="11" s="1"/>
  <c r="I20" i="11"/>
  <c r="G20" i="11"/>
  <c r="Y19" i="11"/>
  <c r="AA19" i="11" s="1"/>
  <c r="AB19" i="11" s="1"/>
  <c r="S19" i="11"/>
  <c r="U19" i="11" s="1"/>
  <c r="M19" i="11"/>
  <c r="O19" i="11" s="1"/>
  <c r="G19" i="11"/>
  <c r="I19" i="11" s="1"/>
  <c r="AA18" i="11"/>
  <c r="AB18" i="11" s="1"/>
  <c r="Y18" i="11"/>
  <c r="S18" i="11"/>
  <c r="U18" i="11" s="1"/>
  <c r="O18" i="11"/>
  <c r="M18" i="11"/>
  <c r="G18" i="11"/>
  <c r="I18" i="11" s="1"/>
  <c r="Y17" i="11"/>
  <c r="AA17" i="11" s="1"/>
  <c r="S17" i="11"/>
  <c r="U17" i="11" s="1"/>
  <c r="M17" i="11"/>
  <c r="O17" i="11" s="1"/>
  <c r="G17" i="11"/>
  <c r="I17" i="11" s="1"/>
  <c r="Y16" i="11"/>
  <c r="AA16" i="11" s="1"/>
  <c r="U16" i="11"/>
  <c r="S16" i="11"/>
  <c r="M16" i="11"/>
  <c r="O16" i="11" s="1"/>
  <c r="I16" i="11"/>
  <c r="G16" i="11"/>
  <c r="Y15" i="11"/>
  <c r="AA15" i="11" s="1"/>
  <c r="S15" i="11"/>
  <c r="U15" i="11" s="1"/>
  <c r="U24" i="11" s="1"/>
  <c r="M15" i="11"/>
  <c r="O15" i="11" s="1"/>
  <c r="G15" i="11"/>
  <c r="I15" i="11" s="1"/>
  <c r="U40" i="11" l="1"/>
  <c r="U41" i="11" s="1"/>
  <c r="O39" i="11"/>
  <c r="I39" i="11"/>
  <c r="AA24" i="11"/>
  <c r="AB15" i="11"/>
  <c r="I24" i="11"/>
  <c r="I40" i="11" s="1"/>
  <c r="I41" i="11" s="1"/>
  <c r="U39" i="11"/>
  <c r="O24" i="11"/>
  <c r="AB16" i="11"/>
  <c r="AB17" i="11"/>
  <c r="AB20" i="11"/>
  <c r="AB21" i="11"/>
  <c r="AB28" i="11"/>
  <c r="AB31" i="11"/>
  <c r="AB32" i="11"/>
  <c r="AB35" i="11"/>
  <c r="AA39" i="11"/>
  <c r="AB36" i="11"/>
  <c r="G24" i="11"/>
  <c r="G40" i="11" s="1"/>
  <c r="S24" i="11"/>
  <c r="S40" i="11" s="1"/>
  <c r="AB39" i="11" l="1"/>
  <c r="O40" i="11"/>
  <c r="O41" i="11" s="1"/>
  <c r="AA40" i="11"/>
  <c r="AB24" i="11"/>
  <c r="AA41" i="11" l="1"/>
  <c r="AB41" i="11" s="1"/>
  <c r="AB40" i="11"/>
  <c r="Y50" i="10" l="1"/>
  <c r="S50" i="10"/>
  <c r="M50" i="10"/>
  <c r="G50" i="10"/>
  <c r="X40" i="10"/>
  <c r="T40" i="10"/>
  <c r="P40" i="10"/>
  <c r="L40" i="10"/>
  <c r="H40" i="10"/>
  <c r="D40" i="10"/>
  <c r="Z39" i="10"/>
  <c r="Y39" i="10"/>
  <c r="X39" i="10"/>
  <c r="W39" i="10"/>
  <c r="V39" i="10"/>
  <c r="T39" i="10"/>
  <c r="R39" i="10"/>
  <c r="Q39" i="10"/>
  <c r="S39" i="10" s="1"/>
  <c r="P39" i="10"/>
  <c r="N39" i="10"/>
  <c r="M39" i="10"/>
  <c r="L39" i="10"/>
  <c r="K39" i="10"/>
  <c r="J39" i="10"/>
  <c r="H39" i="10"/>
  <c r="F39" i="10"/>
  <c r="E39" i="10"/>
  <c r="G39" i="10" s="1"/>
  <c r="D39" i="10"/>
  <c r="Y38" i="10"/>
  <c r="AA38" i="10" s="1"/>
  <c r="U38" i="10"/>
  <c r="M38" i="10"/>
  <c r="O38" i="10" s="1"/>
  <c r="I38" i="10"/>
  <c r="G38" i="10"/>
  <c r="Y37" i="10"/>
  <c r="AA37" i="10" s="1"/>
  <c r="AB37" i="10" s="1"/>
  <c r="U37" i="10"/>
  <c r="S37" i="10"/>
  <c r="M37" i="10"/>
  <c r="O37" i="10" s="1"/>
  <c r="I37" i="10"/>
  <c r="G37" i="10"/>
  <c r="AA36" i="10"/>
  <c r="AB36" i="10" s="1"/>
  <c r="Y36" i="10"/>
  <c r="S36" i="10"/>
  <c r="U36" i="10" s="1"/>
  <c r="O36" i="10"/>
  <c r="M36" i="10"/>
  <c r="I36" i="10"/>
  <c r="Y35" i="10"/>
  <c r="U35" i="10"/>
  <c r="S35" i="10"/>
  <c r="M35" i="10"/>
  <c r="O35" i="10" s="1"/>
  <c r="I35" i="10"/>
  <c r="G35" i="10"/>
  <c r="AA34" i="10"/>
  <c r="AB34" i="10" s="1"/>
  <c r="Y34" i="10"/>
  <c r="S34" i="10"/>
  <c r="U34" i="10" s="1"/>
  <c r="O34" i="10"/>
  <c r="M34" i="10"/>
  <c r="I34" i="10"/>
  <c r="Y33" i="10"/>
  <c r="U33" i="10"/>
  <c r="S33" i="10"/>
  <c r="M33" i="10"/>
  <c r="O33" i="10" s="1"/>
  <c r="AB33" i="10" s="1"/>
  <c r="I33" i="10"/>
  <c r="G33" i="10"/>
  <c r="Y32" i="10"/>
  <c r="U32" i="10"/>
  <c r="S32" i="10"/>
  <c r="M32" i="10"/>
  <c r="O32" i="10" s="1"/>
  <c r="AB32" i="10" s="1"/>
  <c r="G32" i="10"/>
  <c r="I32" i="10" s="1"/>
  <c r="AA31" i="10"/>
  <c r="AB31" i="10" s="1"/>
  <c r="Y31" i="10"/>
  <c r="S31" i="10"/>
  <c r="U31" i="10" s="1"/>
  <c r="O31" i="10"/>
  <c r="M31" i="10"/>
  <c r="G31" i="10"/>
  <c r="I31" i="10" s="1"/>
  <c r="AB30" i="10"/>
  <c r="AA30" i="10"/>
  <c r="Y30" i="10"/>
  <c r="S30" i="10"/>
  <c r="U30" i="10" s="1"/>
  <c r="O30" i="10"/>
  <c r="M30" i="10"/>
  <c r="I30" i="10"/>
  <c r="AB29" i="10"/>
  <c r="AA29" i="10"/>
  <c r="Y29" i="10"/>
  <c r="S29" i="10"/>
  <c r="U29" i="10" s="1"/>
  <c r="O29" i="10"/>
  <c r="M29" i="10"/>
  <c r="G29" i="10"/>
  <c r="I29" i="10" s="1"/>
  <c r="Y28" i="10"/>
  <c r="AA28" i="10" s="1"/>
  <c r="U28" i="10"/>
  <c r="S28" i="10"/>
  <c r="M28" i="10"/>
  <c r="O28" i="10" s="1"/>
  <c r="I28" i="10"/>
  <c r="Z24" i="10"/>
  <c r="Z40" i="10" s="1"/>
  <c r="Y24" i="10"/>
  <c r="Y40" i="10" s="1"/>
  <c r="X24" i="10"/>
  <c r="W24" i="10"/>
  <c r="W40" i="10" s="1"/>
  <c r="V24" i="10"/>
  <c r="V40" i="10" s="1"/>
  <c r="T24" i="10"/>
  <c r="R24" i="10"/>
  <c r="R40" i="10" s="1"/>
  <c r="Q24" i="10"/>
  <c r="Q40" i="10" s="1"/>
  <c r="P24" i="10"/>
  <c r="S24" i="10" s="1"/>
  <c r="S40" i="10" s="1"/>
  <c r="N24" i="10"/>
  <c r="N40" i="10" s="1"/>
  <c r="M24" i="10"/>
  <c r="M40" i="10" s="1"/>
  <c r="L24" i="10"/>
  <c r="K24" i="10"/>
  <c r="K40" i="10" s="1"/>
  <c r="J24" i="10"/>
  <c r="J40" i="10" s="1"/>
  <c r="H24" i="10"/>
  <c r="F24" i="10"/>
  <c r="F40" i="10" s="1"/>
  <c r="E24" i="10"/>
  <c r="E40" i="10" s="1"/>
  <c r="D24" i="10"/>
  <c r="G24" i="10" s="1"/>
  <c r="G40" i="10" s="1"/>
  <c r="Y23" i="10"/>
  <c r="AA23" i="10" s="1"/>
  <c r="S23" i="10"/>
  <c r="U23" i="10" s="1"/>
  <c r="M23" i="10"/>
  <c r="O23" i="10" s="1"/>
  <c r="I23" i="10"/>
  <c r="G23" i="10"/>
  <c r="AA22" i="10"/>
  <c r="AB22" i="10" s="1"/>
  <c r="Y22" i="10"/>
  <c r="S22" i="10"/>
  <c r="U22" i="10" s="1"/>
  <c r="O22" i="10"/>
  <c r="M22" i="10"/>
  <c r="G22" i="10"/>
  <c r="I22" i="10" s="1"/>
  <c r="AB21" i="10"/>
  <c r="AA21" i="10"/>
  <c r="Y21" i="10"/>
  <c r="S21" i="10"/>
  <c r="U21" i="10" s="1"/>
  <c r="O21" i="10"/>
  <c r="M21" i="10"/>
  <c r="G21" i="10"/>
  <c r="I21" i="10" s="1"/>
  <c r="Y20" i="10"/>
  <c r="AA20" i="10" s="1"/>
  <c r="AB20" i="10" s="1"/>
  <c r="U20" i="10"/>
  <c r="S20" i="10"/>
  <c r="M20" i="10"/>
  <c r="O20" i="10" s="1"/>
  <c r="I20" i="10"/>
  <c r="Y19" i="10"/>
  <c r="AA19" i="10" s="1"/>
  <c r="U19" i="10"/>
  <c r="S19" i="10"/>
  <c r="M19" i="10"/>
  <c r="O19" i="10" s="1"/>
  <c r="I19" i="10"/>
  <c r="G19" i="10"/>
  <c r="Y18" i="10"/>
  <c r="AA18" i="10" s="1"/>
  <c r="U18" i="10"/>
  <c r="S18" i="10"/>
  <c r="M18" i="10"/>
  <c r="O18" i="10" s="1"/>
  <c r="G18" i="10"/>
  <c r="I18" i="10" s="1"/>
  <c r="AA17" i="10"/>
  <c r="AB17" i="10" s="1"/>
  <c r="Y17" i="10"/>
  <c r="S17" i="10"/>
  <c r="U17" i="10" s="1"/>
  <c r="O17" i="10"/>
  <c r="M17" i="10"/>
  <c r="G17" i="10"/>
  <c r="I17" i="10" s="1"/>
  <c r="AB16" i="10"/>
  <c r="AA16" i="10"/>
  <c r="Y16" i="10"/>
  <c r="S16" i="10"/>
  <c r="U16" i="10" s="1"/>
  <c r="O16" i="10"/>
  <c r="M16" i="10"/>
  <c r="G16" i="10"/>
  <c r="I16" i="10" s="1"/>
  <c r="Y15" i="10"/>
  <c r="AA15" i="10" s="1"/>
  <c r="U15" i="10"/>
  <c r="S15" i="10"/>
  <c r="M15" i="10"/>
  <c r="O15" i="10" s="1"/>
  <c r="O24" i="10" s="1"/>
  <c r="I15" i="10"/>
  <c r="U24" i="10" l="1"/>
  <c r="AB23" i="10"/>
  <c r="I39" i="10"/>
  <c r="I24" i="10"/>
  <c r="AB15" i="10"/>
  <c r="AA24" i="10"/>
  <c r="AB19" i="10"/>
  <c r="U39" i="10"/>
  <c r="AB18" i="10"/>
  <c r="AB28" i="10"/>
  <c r="AB35" i="10"/>
  <c r="O39" i="10"/>
  <c r="O40" i="10" s="1"/>
  <c r="O41" i="10" s="1"/>
  <c r="AB38" i="10"/>
  <c r="AA39" i="10"/>
  <c r="AB39" i="10" l="1"/>
  <c r="AA40" i="10"/>
  <c r="AB24" i="10"/>
  <c r="U40" i="10"/>
  <c r="U41" i="10" s="1"/>
  <c r="I40" i="10"/>
  <c r="I41" i="10" s="1"/>
  <c r="AB40" i="10" l="1"/>
  <c r="AA41" i="10"/>
  <c r="AB41" i="10" s="1"/>
  <c r="S54" i="9" l="1"/>
  <c r="V54" i="9" s="1"/>
  <c r="Y54" i="9" s="1"/>
  <c r="G54" i="9"/>
  <c r="S53" i="9"/>
  <c r="V53" i="9" s="1"/>
  <c r="Y53" i="9" s="1"/>
  <c r="G53" i="9"/>
  <c r="S52" i="9"/>
  <c r="V52" i="9" s="1"/>
  <c r="Y52" i="9" s="1"/>
  <c r="G52" i="9"/>
  <c r="S51" i="9"/>
  <c r="V51" i="9" s="1"/>
  <c r="Y51" i="9" s="1"/>
  <c r="Y50" i="9" s="1"/>
  <c r="G51" i="9"/>
  <c r="X50" i="9"/>
  <c r="W50" i="9"/>
  <c r="S50" i="9"/>
  <c r="V50" i="9" s="1"/>
  <c r="R50" i="9"/>
  <c r="Q50" i="9"/>
  <c r="P50" i="9"/>
  <c r="G50" i="9"/>
  <c r="F50" i="9"/>
  <c r="E50" i="9"/>
  <c r="D50" i="9"/>
  <c r="Q40" i="9"/>
  <c r="E40" i="9"/>
  <c r="Z39" i="9"/>
  <c r="X39" i="9"/>
  <c r="W39" i="9"/>
  <c r="V39" i="9"/>
  <c r="Y39" i="9" s="1"/>
  <c r="T39" i="9"/>
  <c r="R39" i="9"/>
  <c r="S39" i="9" s="1"/>
  <c r="Q39" i="9"/>
  <c r="P39" i="9"/>
  <c r="N39" i="9"/>
  <c r="L39" i="9"/>
  <c r="K39" i="9"/>
  <c r="J39" i="9"/>
  <c r="M39" i="9" s="1"/>
  <c r="H39" i="9"/>
  <c r="F39" i="9"/>
  <c r="G39" i="9" s="1"/>
  <c r="E39" i="9"/>
  <c r="D39" i="9"/>
  <c r="AA38" i="9"/>
  <c r="AB38" i="9" s="1"/>
  <c r="Y38" i="9"/>
  <c r="S38" i="9"/>
  <c r="U38" i="9" s="1"/>
  <c r="O38" i="9"/>
  <c r="M38" i="9"/>
  <c r="G38" i="9"/>
  <c r="I38" i="9" s="1"/>
  <c r="AB37" i="9"/>
  <c r="AA37" i="9"/>
  <c r="Y37" i="9"/>
  <c r="S37" i="9"/>
  <c r="U37" i="9" s="1"/>
  <c r="O37" i="9"/>
  <c r="M37" i="9"/>
  <c r="G37" i="9"/>
  <c r="I37" i="9" s="1"/>
  <c r="Y36" i="9"/>
  <c r="AA36" i="9" s="1"/>
  <c r="AB36" i="9" s="1"/>
  <c r="U36" i="9"/>
  <c r="S36" i="9"/>
  <c r="M36" i="9"/>
  <c r="O36" i="9" s="1"/>
  <c r="I36" i="9"/>
  <c r="G36" i="9"/>
  <c r="Y35" i="9"/>
  <c r="AA35" i="9" s="1"/>
  <c r="U35" i="9"/>
  <c r="S35" i="9"/>
  <c r="M35" i="9"/>
  <c r="O35" i="9" s="1"/>
  <c r="I35" i="9"/>
  <c r="G35" i="9"/>
  <c r="AA34" i="9"/>
  <c r="AB34" i="9" s="1"/>
  <c r="Y34" i="9"/>
  <c r="S34" i="9"/>
  <c r="U34" i="9" s="1"/>
  <c r="O34" i="9"/>
  <c r="M34" i="9"/>
  <c r="G34" i="9"/>
  <c r="I34" i="9" s="1"/>
  <c r="AB33" i="9"/>
  <c r="AA33" i="9"/>
  <c r="Y33" i="9"/>
  <c r="S33" i="9"/>
  <c r="U33" i="9" s="1"/>
  <c r="O33" i="9"/>
  <c r="M33" i="9"/>
  <c r="G33" i="9"/>
  <c r="I33" i="9" s="1"/>
  <c r="Y32" i="9"/>
  <c r="AA32" i="9" s="1"/>
  <c r="AB32" i="9" s="1"/>
  <c r="U32" i="9"/>
  <c r="S32" i="9"/>
  <c r="M32" i="9"/>
  <c r="O32" i="9" s="1"/>
  <c r="I32" i="9"/>
  <c r="G32" i="9"/>
  <c r="Y31" i="9"/>
  <c r="AA31" i="9" s="1"/>
  <c r="U31" i="9"/>
  <c r="S31" i="9"/>
  <c r="M31" i="9"/>
  <c r="O31" i="9" s="1"/>
  <c r="I31" i="9"/>
  <c r="G31" i="9"/>
  <c r="AA30" i="9"/>
  <c r="AB30" i="9" s="1"/>
  <c r="Y30" i="9"/>
  <c r="S30" i="9"/>
  <c r="U30" i="9" s="1"/>
  <c r="O30" i="9"/>
  <c r="M30" i="9"/>
  <c r="G30" i="9"/>
  <c r="I30" i="9" s="1"/>
  <c r="AB29" i="9"/>
  <c r="AA29" i="9"/>
  <c r="Y29" i="9"/>
  <c r="S29" i="9"/>
  <c r="U29" i="9" s="1"/>
  <c r="O29" i="9"/>
  <c r="M29" i="9"/>
  <c r="G29" i="9"/>
  <c r="I29" i="9" s="1"/>
  <c r="Y28" i="9"/>
  <c r="AA28" i="9" s="1"/>
  <c r="AB28" i="9" s="1"/>
  <c r="U28" i="9"/>
  <c r="S28" i="9"/>
  <c r="M28" i="9"/>
  <c r="O28" i="9" s="1"/>
  <c r="I28" i="9"/>
  <c r="G28" i="9"/>
  <c r="Z24" i="9"/>
  <c r="Z40" i="9" s="1"/>
  <c r="X24" i="9"/>
  <c r="X40" i="9" s="1"/>
  <c r="W24" i="9"/>
  <c r="W40" i="9" s="1"/>
  <c r="V24" i="9"/>
  <c r="Y24" i="9" s="1"/>
  <c r="T24" i="9"/>
  <c r="T40" i="9" s="1"/>
  <c r="R24" i="9"/>
  <c r="R40" i="9" s="1"/>
  <c r="Q24" i="9"/>
  <c r="P24" i="9"/>
  <c r="P40" i="9" s="1"/>
  <c r="N24" i="9"/>
  <c r="N40" i="9" s="1"/>
  <c r="L24" i="9"/>
  <c r="L40" i="9" s="1"/>
  <c r="K24" i="9"/>
  <c r="K40" i="9" s="1"/>
  <c r="J24" i="9"/>
  <c r="M24" i="9" s="1"/>
  <c r="H24" i="9"/>
  <c r="H40" i="9" s="1"/>
  <c r="F24" i="9"/>
  <c r="G24" i="9" s="1"/>
  <c r="G40" i="9" s="1"/>
  <c r="E24" i="9"/>
  <c r="D24" i="9"/>
  <c r="D40" i="9" s="1"/>
  <c r="AA23" i="9"/>
  <c r="AB23" i="9" s="1"/>
  <c r="Y23" i="9"/>
  <c r="S23" i="9"/>
  <c r="U23" i="9" s="1"/>
  <c r="O23" i="9"/>
  <c r="M23" i="9"/>
  <c r="G23" i="9"/>
  <c r="I23" i="9" s="1"/>
  <c r="AB22" i="9"/>
  <c r="AA22" i="9"/>
  <c r="Y22" i="9"/>
  <c r="S22" i="9"/>
  <c r="U22" i="9" s="1"/>
  <c r="O22" i="9"/>
  <c r="M22" i="9"/>
  <c r="G22" i="9"/>
  <c r="I22" i="9" s="1"/>
  <c r="Y21" i="9"/>
  <c r="AA21" i="9" s="1"/>
  <c r="AB21" i="9" s="1"/>
  <c r="U21" i="9"/>
  <c r="S21" i="9"/>
  <c r="M21" i="9"/>
  <c r="O21" i="9" s="1"/>
  <c r="I21" i="9"/>
  <c r="G21" i="9"/>
  <c r="Y20" i="9"/>
  <c r="AA20" i="9" s="1"/>
  <c r="U20" i="9"/>
  <c r="S20" i="9"/>
  <c r="M20" i="9"/>
  <c r="O20" i="9" s="1"/>
  <c r="I20" i="9"/>
  <c r="G20" i="9"/>
  <c r="AA19" i="9"/>
  <c r="AB19" i="9" s="1"/>
  <c r="Y19" i="9"/>
  <c r="S19" i="9"/>
  <c r="U19" i="9" s="1"/>
  <c r="O19" i="9"/>
  <c r="M19" i="9"/>
  <c r="G19" i="9"/>
  <c r="I19" i="9" s="1"/>
  <c r="AB18" i="9"/>
  <c r="AA18" i="9"/>
  <c r="Y18" i="9"/>
  <c r="S18" i="9"/>
  <c r="U18" i="9" s="1"/>
  <c r="O18" i="9"/>
  <c r="M18" i="9"/>
  <c r="G18" i="9"/>
  <c r="I18" i="9" s="1"/>
  <c r="Y17" i="9"/>
  <c r="AA17" i="9" s="1"/>
  <c r="AB17" i="9" s="1"/>
  <c r="U17" i="9"/>
  <c r="S17" i="9"/>
  <c r="M17" i="9"/>
  <c r="O17" i="9" s="1"/>
  <c r="I17" i="9"/>
  <c r="G17" i="9"/>
  <c r="Y16" i="9"/>
  <c r="AA16" i="9" s="1"/>
  <c r="AB16" i="9" s="1"/>
  <c r="U16" i="9"/>
  <c r="S16" i="9"/>
  <c r="M16" i="9"/>
  <c r="O16" i="9" s="1"/>
  <c r="I16" i="9"/>
  <c r="G16" i="9"/>
  <c r="AA15" i="9"/>
  <c r="Y15" i="9"/>
  <c r="S15" i="9"/>
  <c r="U15" i="9" s="1"/>
  <c r="O15" i="9"/>
  <c r="M15" i="9"/>
  <c r="G15" i="9"/>
  <c r="I15" i="9" s="1"/>
  <c r="I39" i="9" l="1"/>
  <c r="O24" i="9"/>
  <c r="O39" i="9"/>
  <c r="AB35" i="9"/>
  <c r="AA39" i="9"/>
  <c r="AA24" i="9"/>
  <c r="U24" i="9"/>
  <c r="U40" i="9" s="1"/>
  <c r="U41" i="9" s="1"/>
  <c r="I24" i="9"/>
  <c r="I40" i="9" s="1"/>
  <c r="I41" i="9" s="1"/>
  <c r="AB20" i="9"/>
  <c r="M40" i="9"/>
  <c r="Y40" i="9"/>
  <c r="AB31" i="9"/>
  <c r="U39" i="9"/>
  <c r="AB15" i="9"/>
  <c r="S24" i="9"/>
  <c r="S40" i="9" s="1"/>
  <c r="F40" i="9"/>
  <c r="V40" i="9"/>
  <c r="J40" i="9"/>
  <c r="AA40" i="9" l="1"/>
  <c r="AB24" i="9"/>
  <c r="O40" i="9"/>
  <c r="O41" i="9" s="1"/>
  <c r="AB39" i="9"/>
  <c r="AA41" i="9" l="1"/>
  <c r="AB41" i="9" s="1"/>
  <c r="AB40" i="9"/>
  <c r="Y54" i="8" l="1"/>
  <c r="S54" i="8"/>
  <c r="M54" i="8"/>
  <c r="G54" i="8"/>
  <c r="Y53" i="8"/>
  <c r="S53" i="8"/>
  <c r="M53" i="8"/>
  <c r="G53" i="8"/>
  <c r="Y52" i="8"/>
  <c r="S52" i="8"/>
  <c r="M52" i="8"/>
  <c r="G52" i="8"/>
  <c r="W51" i="8"/>
  <c r="Y51" i="8" s="1"/>
  <c r="S51" i="8"/>
  <c r="M51" i="8"/>
  <c r="G51" i="8"/>
  <c r="X50" i="8"/>
  <c r="V50" i="8"/>
  <c r="S50" i="8"/>
  <c r="R50" i="8"/>
  <c r="Q50" i="8"/>
  <c r="P50" i="8"/>
  <c r="M50" i="8"/>
  <c r="F50" i="8"/>
  <c r="E50" i="8"/>
  <c r="D50" i="8"/>
  <c r="G50" i="8" s="1"/>
  <c r="Z40" i="8"/>
  <c r="V40" i="8"/>
  <c r="R40" i="8"/>
  <c r="N40" i="8"/>
  <c r="J40" i="8"/>
  <c r="F40" i="8"/>
  <c r="Z39" i="8"/>
  <c r="X39" i="8"/>
  <c r="W39" i="8"/>
  <c r="Y39" i="8" s="1"/>
  <c r="V39" i="8"/>
  <c r="T39" i="8"/>
  <c r="S39" i="8"/>
  <c r="R39" i="8"/>
  <c r="Q39" i="8"/>
  <c r="P39" i="8"/>
  <c r="N39" i="8"/>
  <c r="L39" i="8"/>
  <c r="K39" i="8"/>
  <c r="M39" i="8" s="1"/>
  <c r="J39" i="8"/>
  <c r="H39" i="8"/>
  <c r="G39" i="8"/>
  <c r="F39" i="8"/>
  <c r="E39" i="8"/>
  <c r="D39" i="8"/>
  <c r="Y38" i="8"/>
  <c r="AA38" i="8" s="1"/>
  <c r="AB38" i="8" s="1"/>
  <c r="U38" i="8"/>
  <c r="O38" i="8"/>
  <c r="M38" i="8"/>
  <c r="I38" i="8"/>
  <c r="G38" i="8"/>
  <c r="Y37" i="8"/>
  <c r="AA37" i="8" s="1"/>
  <c r="AB37" i="8" s="1"/>
  <c r="U37" i="8"/>
  <c r="O37" i="8"/>
  <c r="M37" i="8"/>
  <c r="I37" i="8"/>
  <c r="G37" i="8"/>
  <c r="Y36" i="8"/>
  <c r="AA36" i="8" s="1"/>
  <c r="AB36" i="8" s="1"/>
  <c r="U36" i="8"/>
  <c r="O36" i="8"/>
  <c r="M36" i="8"/>
  <c r="I36" i="8"/>
  <c r="G36" i="8"/>
  <c r="Y35" i="8"/>
  <c r="AA35" i="8" s="1"/>
  <c r="S35" i="8"/>
  <c r="U35" i="8" s="1"/>
  <c r="M35" i="8"/>
  <c r="O35" i="8" s="1"/>
  <c r="G35" i="8"/>
  <c r="I35" i="8" s="1"/>
  <c r="AA34" i="8"/>
  <c r="AB34" i="8" s="1"/>
  <c r="Y34" i="8"/>
  <c r="U34" i="8"/>
  <c r="S34" i="8"/>
  <c r="O34" i="8"/>
  <c r="M34" i="8"/>
  <c r="I34" i="8"/>
  <c r="G34" i="8"/>
  <c r="Y33" i="8"/>
  <c r="AA33" i="8" s="1"/>
  <c r="AB33" i="8" s="1"/>
  <c r="S33" i="8"/>
  <c r="U33" i="8" s="1"/>
  <c r="M33" i="8"/>
  <c r="O33" i="8" s="1"/>
  <c r="G33" i="8"/>
  <c r="I33" i="8" s="1"/>
  <c r="AA32" i="8"/>
  <c r="AB32" i="8" s="1"/>
  <c r="Y32" i="8"/>
  <c r="U32" i="8"/>
  <c r="S32" i="8"/>
  <c r="O32" i="8"/>
  <c r="M32" i="8"/>
  <c r="I32" i="8"/>
  <c r="G32" i="8"/>
  <c r="Y31" i="8"/>
  <c r="AA31" i="8" s="1"/>
  <c r="AB31" i="8" s="1"/>
  <c r="S31" i="8"/>
  <c r="U31" i="8" s="1"/>
  <c r="M31" i="8"/>
  <c r="O31" i="8" s="1"/>
  <c r="G31" i="8"/>
  <c r="I31" i="8" s="1"/>
  <c r="AA30" i="8"/>
  <c r="AB30" i="8" s="1"/>
  <c r="S30" i="8"/>
  <c r="U30" i="8" s="1"/>
  <c r="M30" i="8"/>
  <c r="O30" i="8" s="1"/>
  <c r="G30" i="8"/>
  <c r="I30" i="8" s="1"/>
  <c r="AA29" i="8"/>
  <c r="AB29" i="8" s="1"/>
  <c r="Y29" i="8"/>
  <c r="U29" i="8"/>
  <c r="S29" i="8"/>
  <c r="O29" i="8"/>
  <c r="M29" i="8"/>
  <c r="I29" i="8"/>
  <c r="G29" i="8"/>
  <c r="Y28" i="8"/>
  <c r="AA28" i="8" s="1"/>
  <c r="AB28" i="8" s="1"/>
  <c r="S28" i="8"/>
  <c r="U28" i="8" s="1"/>
  <c r="M28" i="8"/>
  <c r="O28" i="8" s="1"/>
  <c r="G28" i="8"/>
  <c r="I28" i="8" s="1"/>
  <c r="Z24" i="8"/>
  <c r="X24" i="8"/>
  <c r="X40" i="8" s="1"/>
  <c r="W24" i="8"/>
  <c r="W40" i="8" s="1"/>
  <c r="V24" i="8"/>
  <c r="T24" i="8"/>
  <c r="T40" i="8" s="1"/>
  <c r="S24" i="8"/>
  <c r="S40" i="8" s="1"/>
  <c r="R24" i="8"/>
  <c r="Q24" i="8"/>
  <c r="Q40" i="8" s="1"/>
  <c r="P24" i="8"/>
  <c r="P40" i="8" s="1"/>
  <c r="N24" i="8"/>
  <c r="L24" i="8"/>
  <c r="L40" i="8" s="1"/>
  <c r="K24" i="8"/>
  <c r="K40" i="8" s="1"/>
  <c r="J24" i="8"/>
  <c r="H24" i="8"/>
  <c r="H40" i="8" s="1"/>
  <c r="G24" i="8"/>
  <c r="G40" i="8" s="1"/>
  <c r="F24" i="8"/>
  <c r="E24" i="8"/>
  <c r="E40" i="8" s="1"/>
  <c r="D24" i="8"/>
  <c r="D40" i="8" s="1"/>
  <c r="Y23" i="8"/>
  <c r="AA23" i="8" s="1"/>
  <c r="S23" i="8"/>
  <c r="U23" i="8" s="1"/>
  <c r="M23" i="8"/>
  <c r="O23" i="8" s="1"/>
  <c r="G23" i="8"/>
  <c r="I23" i="8" s="1"/>
  <c r="AA22" i="8"/>
  <c r="AB22" i="8" s="1"/>
  <c r="Y22" i="8"/>
  <c r="U22" i="8"/>
  <c r="S22" i="8"/>
  <c r="O22" i="8"/>
  <c r="M22" i="8"/>
  <c r="I22" i="8"/>
  <c r="G22" i="8"/>
  <c r="Y21" i="8"/>
  <c r="AA21" i="8" s="1"/>
  <c r="S21" i="8"/>
  <c r="U21" i="8" s="1"/>
  <c r="M21" i="8"/>
  <c r="O21" i="8" s="1"/>
  <c r="G21" i="8"/>
  <c r="I21" i="8" s="1"/>
  <c r="AA20" i="8"/>
  <c r="AB20" i="8" s="1"/>
  <c r="Y20" i="8"/>
  <c r="U20" i="8"/>
  <c r="S20" i="8"/>
  <c r="O20" i="8"/>
  <c r="M20" i="8"/>
  <c r="I20" i="8"/>
  <c r="AA19" i="8"/>
  <c r="AB19" i="8" s="1"/>
  <c r="Y19" i="8"/>
  <c r="U19" i="8"/>
  <c r="S19" i="8"/>
  <c r="O19" i="8"/>
  <c r="M19" i="8"/>
  <c r="I19" i="8"/>
  <c r="G19" i="8"/>
  <c r="Y18" i="8"/>
  <c r="AA18" i="8" s="1"/>
  <c r="AB18" i="8" s="1"/>
  <c r="U18" i="8"/>
  <c r="M18" i="8"/>
  <c r="G18" i="8"/>
  <c r="I18" i="8" s="1"/>
  <c r="AA17" i="8"/>
  <c r="AB17" i="8" s="1"/>
  <c r="Y17" i="8"/>
  <c r="U17" i="8"/>
  <c r="S17" i="8"/>
  <c r="O17" i="8"/>
  <c r="M17" i="8"/>
  <c r="I17" i="8"/>
  <c r="G17" i="8"/>
  <c r="Y16" i="8"/>
  <c r="AA16" i="8" s="1"/>
  <c r="AB16" i="8" s="1"/>
  <c r="U16" i="8"/>
  <c r="O16" i="8"/>
  <c r="M16" i="8"/>
  <c r="I16" i="8"/>
  <c r="G16" i="8"/>
  <c r="Y15" i="8"/>
  <c r="AA15" i="8" s="1"/>
  <c r="S15" i="8"/>
  <c r="U15" i="8" s="1"/>
  <c r="U24" i="8" s="1"/>
  <c r="M15" i="8"/>
  <c r="O15" i="8" s="1"/>
  <c r="O24" i="8" s="1"/>
  <c r="G15" i="8"/>
  <c r="I15" i="8" s="1"/>
  <c r="O40" i="8" l="1"/>
  <c r="O41" i="8" s="1"/>
  <c r="U39" i="8"/>
  <c r="U40" i="8" s="1"/>
  <c r="U41" i="8" s="1"/>
  <c r="AB35" i="8"/>
  <c r="AA39" i="8"/>
  <c r="AB39" i="8" s="1"/>
  <c r="AA24" i="8"/>
  <c r="AB15" i="8"/>
  <c r="I39" i="8"/>
  <c r="I24" i="8"/>
  <c r="I40" i="8" s="1"/>
  <c r="I41" i="8" s="1"/>
  <c r="AB21" i="8"/>
  <c r="AB23" i="8"/>
  <c r="O39" i="8"/>
  <c r="M24" i="8"/>
  <c r="M40" i="8" s="1"/>
  <c r="Y24" i="8"/>
  <c r="Y40" i="8" s="1"/>
  <c r="W50" i="8"/>
  <c r="Y50" i="8" s="1"/>
  <c r="AA40" i="8" l="1"/>
  <c r="AB24" i="8"/>
  <c r="AA41" i="8" l="1"/>
  <c r="AB41" i="8" s="1"/>
  <c r="AB40" i="8"/>
  <c r="G15" i="7" l="1"/>
  <c r="I15" i="7" s="1"/>
  <c r="M15" i="7"/>
  <c r="O15" i="7"/>
  <c r="S15" i="7"/>
  <c r="U15" i="7" s="1"/>
  <c r="U24" i="7" s="1"/>
  <c r="Y15" i="7"/>
  <c r="AA15" i="7"/>
  <c r="AB15" i="7" s="1"/>
  <c r="G16" i="7"/>
  <c r="I16" i="7"/>
  <c r="M16" i="7"/>
  <c r="O16" i="7" s="1"/>
  <c r="S16" i="7"/>
  <c r="U16" i="7"/>
  <c r="Y16" i="7"/>
  <c r="AA16" i="7" s="1"/>
  <c r="G17" i="7"/>
  <c r="I17" i="7"/>
  <c r="M17" i="7"/>
  <c r="O17" i="7" s="1"/>
  <c r="S17" i="7"/>
  <c r="U17" i="7"/>
  <c r="Y17" i="7"/>
  <c r="AA17" i="7" s="1"/>
  <c r="G18" i="7"/>
  <c r="I18" i="7" s="1"/>
  <c r="M18" i="7"/>
  <c r="O18" i="7"/>
  <c r="S18" i="7"/>
  <c r="U18" i="7" s="1"/>
  <c r="Y18" i="7"/>
  <c r="AA18" i="7"/>
  <c r="AB18" i="7"/>
  <c r="G19" i="7"/>
  <c r="I19" i="7" s="1"/>
  <c r="M19" i="7"/>
  <c r="O19" i="7"/>
  <c r="S19" i="7"/>
  <c r="U19" i="7" s="1"/>
  <c r="Y19" i="7"/>
  <c r="AA19" i="7"/>
  <c r="AB19" i="7" s="1"/>
  <c r="I20" i="7"/>
  <c r="M20" i="7"/>
  <c r="O20" i="7"/>
  <c r="S20" i="7"/>
  <c r="U20" i="7" s="1"/>
  <c r="Y20" i="7"/>
  <c r="AA20" i="7"/>
  <c r="AB20" i="7" s="1"/>
  <c r="G21" i="7"/>
  <c r="I21" i="7"/>
  <c r="M21" i="7"/>
  <c r="O21" i="7" s="1"/>
  <c r="S21" i="7"/>
  <c r="U21" i="7"/>
  <c r="Y21" i="7"/>
  <c r="AA21" i="7" s="1"/>
  <c r="G22" i="7"/>
  <c r="I22" i="7"/>
  <c r="M22" i="7"/>
  <c r="O22" i="7" s="1"/>
  <c r="S22" i="7"/>
  <c r="U22" i="7"/>
  <c r="Y22" i="7"/>
  <c r="AA22" i="7" s="1"/>
  <c r="AB22" i="7" s="1"/>
  <c r="G23" i="7"/>
  <c r="I23" i="7" s="1"/>
  <c r="M23" i="7"/>
  <c r="O23" i="7"/>
  <c r="S23" i="7"/>
  <c r="U23" i="7" s="1"/>
  <c r="Y23" i="7"/>
  <c r="AA23" i="7"/>
  <c r="AB23" i="7"/>
  <c r="D24" i="7"/>
  <c r="E24" i="7"/>
  <c r="F24" i="7"/>
  <c r="G24" i="7"/>
  <c r="G40" i="7" s="1"/>
  <c r="H24" i="7"/>
  <c r="J24" i="7"/>
  <c r="M24" i="7" s="1"/>
  <c r="K24" i="7"/>
  <c r="K40" i="7" s="1"/>
  <c r="L24" i="7"/>
  <c r="N24" i="7"/>
  <c r="P24" i="7"/>
  <c r="Q24" i="7"/>
  <c r="R24" i="7"/>
  <c r="S24" i="7"/>
  <c r="S40" i="7" s="1"/>
  <c r="T24" i="7"/>
  <c r="V24" i="7"/>
  <c r="W24" i="7"/>
  <c r="W40" i="7" s="1"/>
  <c r="X24" i="7"/>
  <c r="Z24" i="7"/>
  <c r="G28" i="7"/>
  <c r="I28" i="7" s="1"/>
  <c r="M28" i="7"/>
  <c r="O28" i="7" s="1"/>
  <c r="S28" i="7"/>
  <c r="U28" i="7" s="1"/>
  <c r="Y28" i="7"/>
  <c r="AA28" i="7" s="1"/>
  <c r="G29" i="7"/>
  <c r="I29" i="7"/>
  <c r="M29" i="7"/>
  <c r="O29" i="7"/>
  <c r="S29" i="7"/>
  <c r="U29" i="7"/>
  <c r="Y29" i="7"/>
  <c r="AA29" i="7"/>
  <c r="AB29" i="7" s="1"/>
  <c r="G30" i="7"/>
  <c r="I30" i="7" s="1"/>
  <c r="M30" i="7"/>
  <c r="O30" i="7" s="1"/>
  <c r="S30" i="7"/>
  <c r="U30" i="7" s="1"/>
  <c r="Y30" i="7"/>
  <c r="AA30" i="7" s="1"/>
  <c r="G31" i="7"/>
  <c r="I31" i="7"/>
  <c r="M31" i="7"/>
  <c r="O31" i="7"/>
  <c r="S31" i="7"/>
  <c r="U31" i="7"/>
  <c r="Y31" i="7"/>
  <c r="AA31" i="7"/>
  <c r="AB31" i="7" s="1"/>
  <c r="G32" i="7"/>
  <c r="I32" i="7" s="1"/>
  <c r="M32" i="7"/>
  <c r="O32" i="7" s="1"/>
  <c r="S32" i="7"/>
  <c r="U32" i="7" s="1"/>
  <c r="Y32" i="7"/>
  <c r="AA32" i="7" s="1"/>
  <c r="G33" i="7"/>
  <c r="I33" i="7"/>
  <c r="M33" i="7"/>
  <c r="O33" i="7" s="1"/>
  <c r="S33" i="7"/>
  <c r="U33" i="7"/>
  <c r="Y33" i="7"/>
  <c r="AA33" i="7" s="1"/>
  <c r="AB33" i="7" s="1"/>
  <c r="G34" i="7"/>
  <c r="I34" i="7" s="1"/>
  <c r="M34" i="7"/>
  <c r="O34" i="7"/>
  <c r="S34" i="7"/>
  <c r="U34" i="7" s="1"/>
  <c r="Y34" i="7"/>
  <c r="AA34" i="7" s="1"/>
  <c r="AB34" i="7" s="1"/>
  <c r="G35" i="7"/>
  <c r="I35" i="7" s="1"/>
  <c r="M35" i="7"/>
  <c r="O35" i="7"/>
  <c r="S35" i="7"/>
  <c r="U35" i="7" s="1"/>
  <c r="Y35" i="7"/>
  <c r="AA35" i="7"/>
  <c r="AB35" i="7" s="1"/>
  <c r="G36" i="7"/>
  <c r="I36" i="7" s="1"/>
  <c r="M36" i="7"/>
  <c r="O36" i="7" s="1"/>
  <c r="S36" i="7"/>
  <c r="U36" i="7" s="1"/>
  <c r="Y36" i="7"/>
  <c r="AA36" i="7" s="1"/>
  <c r="G37" i="7"/>
  <c r="I37" i="7"/>
  <c r="M37" i="7"/>
  <c r="O37" i="7"/>
  <c r="S37" i="7"/>
  <c r="U37" i="7"/>
  <c r="Y37" i="7"/>
  <c r="AA37" i="7"/>
  <c r="AB37" i="7" s="1"/>
  <c r="G38" i="7"/>
  <c r="I38" i="7" s="1"/>
  <c r="M38" i="7"/>
  <c r="O38" i="7" s="1"/>
  <c r="S38" i="7"/>
  <c r="U38" i="7" s="1"/>
  <c r="Y38" i="7"/>
  <c r="AA38" i="7" s="1"/>
  <c r="AB38" i="7" s="1"/>
  <c r="D39" i="7"/>
  <c r="E39" i="7"/>
  <c r="F39" i="7"/>
  <c r="G39" i="7"/>
  <c r="H39" i="7"/>
  <c r="J39" i="7"/>
  <c r="K39" i="7"/>
  <c r="M39" i="7" s="1"/>
  <c r="L39" i="7"/>
  <c r="N39" i="7"/>
  <c r="P39" i="7"/>
  <c r="Q39" i="7"/>
  <c r="R39" i="7"/>
  <c r="S39" i="7"/>
  <c r="T39" i="7"/>
  <c r="V39" i="7"/>
  <c r="Y39" i="7" s="1"/>
  <c r="W39" i="7"/>
  <c r="X39" i="7"/>
  <c r="Z39" i="7"/>
  <c r="D40" i="7"/>
  <c r="E40" i="7"/>
  <c r="F40" i="7"/>
  <c r="H40" i="7"/>
  <c r="J40" i="7"/>
  <c r="L40" i="7"/>
  <c r="N40" i="7"/>
  <c r="P40" i="7"/>
  <c r="Q40" i="7"/>
  <c r="R40" i="7"/>
  <c r="T40" i="7"/>
  <c r="V40" i="7"/>
  <c r="X40" i="7"/>
  <c r="Z40" i="7"/>
  <c r="G50" i="7"/>
  <c r="M50" i="7"/>
  <c r="S50" i="7"/>
  <c r="Y50" i="7"/>
  <c r="G51" i="7"/>
  <c r="M51" i="7"/>
  <c r="S51" i="7"/>
  <c r="Y51" i="7"/>
  <c r="G52" i="7"/>
  <c r="M52" i="7"/>
  <c r="S52" i="7"/>
  <c r="Y52" i="7"/>
  <c r="G53" i="7"/>
  <c r="M53" i="7"/>
  <c r="S53" i="7"/>
  <c r="Y53" i="7"/>
  <c r="G54" i="7"/>
  <c r="M54" i="7"/>
  <c r="S54" i="7"/>
  <c r="AB36" i="7" l="1"/>
  <c r="AA39" i="7"/>
  <c r="AB39" i="7" s="1"/>
  <c r="I39" i="7"/>
  <c r="AB32" i="7"/>
  <c r="AB30" i="7"/>
  <c r="AB28" i="7"/>
  <c r="M40" i="7"/>
  <c r="AB17" i="7"/>
  <c r="AB16" i="7"/>
  <c r="AA24" i="7"/>
  <c r="AB21" i="7"/>
  <c r="O39" i="7"/>
  <c r="U39" i="7"/>
  <c r="U40" i="7" s="1"/>
  <c r="U41" i="7" s="1"/>
  <c r="O24" i="7"/>
  <c r="O40" i="7" s="1"/>
  <c r="O41" i="7" s="1"/>
  <c r="I24" i="7"/>
  <c r="I40" i="7" s="1"/>
  <c r="I41" i="7" s="1"/>
  <c r="Y24" i="7"/>
  <c r="Y40" i="7" s="1"/>
  <c r="V54" i="6"/>
  <c r="Y54" i="6" s="1"/>
  <c r="P54" i="6"/>
  <c r="S54" i="6" s="1"/>
  <c r="J54" i="6"/>
  <c r="M54" i="6" s="1"/>
  <c r="G54" i="6"/>
  <c r="G53" i="6"/>
  <c r="P52" i="6"/>
  <c r="S52" i="6" s="1"/>
  <c r="G52" i="6"/>
  <c r="J52" i="6" s="1"/>
  <c r="M52" i="6" s="1"/>
  <c r="V52" i="6" s="1"/>
  <c r="Y52" i="6" s="1"/>
  <c r="E51" i="6"/>
  <c r="G51" i="6" s="1"/>
  <c r="Y50" i="6"/>
  <c r="S50" i="6"/>
  <c r="M50" i="6"/>
  <c r="G50" i="6"/>
  <c r="Q40" i="6"/>
  <c r="Z39" i="6"/>
  <c r="X39" i="6"/>
  <c r="W39" i="6"/>
  <c r="T39" i="6"/>
  <c r="R39" i="6"/>
  <c r="S39" i="6" s="1"/>
  <c r="Q39" i="6"/>
  <c r="P39" i="6"/>
  <c r="N39" i="6"/>
  <c r="L39" i="6"/>
  <c r="K39" i="6"/>
  <c r="H39" i="6"/>
  <c r="F39" i="6"/>
  <c r="AA38" i="6"/>
  <c r="AB38" i="6" s="1"/>
  <c r="V38" i="6"/>
  <c r="Y38" i="6" s="1"/>
  <c r="S38" i="6"/>
  <c r="U38" i="6" s="1"/>
  <c r="M38" i="6"/>
  <c r="O38" i="6" s="1"/>
  <c r="G38" i="6"/>
  <c r="I38" i="6" s="1"/>
  <c r="Y37" i="6"/>
  <c r="AA37" i="6" s="1"/>
  <c r="U37" i="6"/>
  <c r="S37" i="6"/>
  <c r="M37" i="6"/>
  <c r="O37" i="6" s="1"/>
  <c r="I37" i="6"/>
  <c r="G37" i="6"/>
  <c r="Y36" i="6"/>
  <c r="AA36" i="6" s="1"/>
  <c r="AB36" i="6" s="1"/>
  <c r="S36" i="6"/>
  <c r="U36" i="6" s="1"/>
  <c r="M36" i="6"/>
  <c r="O36" i="6" s="1"/>
  <c r="G36" i="6"/>
  <c r="I36" i="6" s="1"/>
  <c r="AA35" i="6"/>
  <c r="Y35" i="6"/>
  <c r="S35" i="6"/>
  <c r="U35" i="6" s="1"/>
  <c r="O35" i="6"/>
  <c r="M35" i="6"/>
  <c r="G35" i="6"/>
  <c r="I35" i="6" s="1"/>
  <c r="Y34" i="6"/>
  <c r="AA34" i="6" s="1"/>
  <c r="AB34" i="6" s="1"/>
  <c r="S34" i="6"/>
  <c r="U34" i="6" s="1"/>
  <c r="M34" i="6"/>
  <c r="O34" i="6" s="1"/>
  <c r="G34" i="6"/>
  <c r="I34" i="6" s="1"/>
  <c r="Y33" i="6"/>
  <c r="AA33" i="6" s="1"/>
  <c r="AB33" i="6" s="1"/>
  <c r="U33" i="6"/>
  <c r="S33" i="6"/>
  <c r="M33" i="6"/>
  <c r="O33" i="6" s="1"/>
  <c r="I33" i="6"/>
  <c r="G33" i="6"/>
  <c r="Y32" i="6"/>
  <c r="AA32" i="6" s="1"/>
  <c r="W32" i="6"/>
  <c r="S32" i="6"/>
  <c r="U32" i="6" s="1"/>
  <c r="K32" i="6"/>
  <c r="J32" i="6"/>
  <c r="M32" i="6" s="1"/>
  <c r="O32" i="6" s="1"/>
  <c r="F32" i="6"/>
  <c r="E32" i="6"/>
  <c r="E39" i="6" s="1"/>
  <c r="D32" i="6"/>
  <c r="V31" i="6"/>
  <c r="V39" i="6" s="1"/>
  <c r="Y39" i="6" s="1"/>
  <c r="S31" i="6"/>
  <c r="U31" i="6" s="1"/>
  <c r="O31" i="6"/>
  <c r="M31" i="6"/>
  <c r="G31" i="6"/>
  <c r="I31" i="6" s="1"/>
  <c r="AA30" i="6"/>
  <c r="AB30" i="6" s="1"/>
  <c r="V30" i="6"/>
  <c r="Y30" i="6" s="1"/>
  <c r="S30" i="6"/>
  <c r="U30" i="6" s="1"/>
  <c r="J30" i="6"/>
  <c r="M30" i="6" s="1"/>
  <c r="O30" i="6" s="1"/>
  <c r="I30" i="6"/>
  <c r="G30" i="6"/>
  <c r="Y29" i="6"/>
  <c r="AA29" i="6" s="1"/>
  <c r="AB29" i="6" s="1"/>
  <c r="V29" i="6"/>
  <c r="S29" i="6"/>
  <c r="U29" i="6" s="1"/>
  <c r="O29" i="6"/>
  <c r="M29" i="6"/>
  <c r="G29" i="6"/>
  <c r="I29" i="6" s="1"/>
  <c r="Y28" i="6"/>
  <c r="AA28" i="6" s="1"/>
  <c r="AB28" i="6" s="1"/>
  <c r="U28" i="6"/>
  <c r="S28" i="6"/>
  <c r="M28" i="6"/>
  <c r="O28" i="6" s="1"/>
  <c r="G28" i="6"/>
  <c r="I28" i="6" s="1"/>
  <c r="Z24" i="6"/>
  <c r="X24" i="6"/>
  <c r="X40" i="6" s="1"/>
  <c r="W24" i="6"/>
  <c r="W40" i="6" s="1"/>
  <c r="T24" i="6"/>
  <c r="T40" i="6" s="1"/>
  <c r="R24" i="6"/>
  <c r="R40" i="6" s="1"/>
  <c r="Q24" i="6"/>
  <c r="P24" i="6"/>
  <c r="P40" i="6" s="1"/>
  <c r="N24" i="6"/>
  <c r="N40" i="6" s="1"/>
  <c r="L24" i="6"/>
  <c r="L40" i="6" s="1"/>
  <c r="K24" i="6"/>
  <c r="K40" i="6" s="1"/>
  <c r="H24" i="6"/>
  <c r="H40" i="6" s="1"/>
  <c r="F24" i="6"/>
  <c r="E24" i="6"/>
  <c r="G24" i="6" s="1"/>
  <c r="D24" i="6"/>
  <c r="Y23" i="6"/>
  <c r="AA23" i="6" s="1"/>
  <c r="AB23" i="6" s="1"/>
  <c r="S23" i="6"/>
  <c r="U23" i="6" s="1"/>
  <c r="O23" i="6"/>
  <c r="M23" i="6"/>
  <c r="G23" i="6"/>
  <c r="I23" i="6" s="1"/>
  <c r="AA22" i="6"/>
  <c r="AB22" i="6" s="1"/>
  <c r="Y22" i="6"/>
  <c r="S22" i="6"/>
  <c r="U22" i="6" s="1"/>
  <c r="O22" i="6"/>
  <c r="M22" i="6"/>
  <c r="G22" i="6"/>
  <c r="I22" i="6" s="1"/>
  <c r="Y21" i="6"/>
  <c r="AA21" i="6" s="1"/>
  <c r="AB21" i="6" s="1"/>
  <c r="U21" i="6"/>
  <c r="S21" i="6"/>
  <c r="M21" i="6"/>
  <c r="O21" i="6" s="1"/>
  <c r="G21" i="6"/>
  <c r="I21" i="6" s="1"/>
  <c r="Y20" i="6"/>
  <c r="AA20" i="6" s="1"/>
  <c r="AB20" i="6" s="1"/>
  <c r="U20" i="6"/>
  <c r="S20" i="6"/>
  <c r="M20" i="6"/>
  <c r="O20" i="6" s="1"/>
  <c r="I20" i="6"/>
  <c r="G20" i="6"/>
  <c r="Y19" i="6"/>
  <c r="AA19" i="6" s="1"/>
  <c r="S19" i="6"/>
  <c r="U19" i="6" s="1"/>
  <c r="M19" i="6"/>
  <c r="O19" i="6" s="1"/>
  <c r="G19" i="6"/>
  <c r="I19" i="6" s="1"/>
  <c r="AB18" i="6"/>
  <c r="AA18" i="6"/>
  <c r="Y18" i="6"/>
  <c r="S18" i="6"/>
  <c r="U18" i="6" s="1"/>
  <c r="O18" i="6"/>
  <c r="M18" i="6"/>
  <c r="G18" i="6"/>
  <c r="I18" i="6" s="1"/>
  <c r="V17" i="6"/>
  <c r="Y17" i="6" s="1"/>
  <c r="AA17" i="6" s="1"/>
  <c r="U17" i="6"/>
  <c r="S17" i="6"/>
  <c r="J17" i="6"/>
  <c r="J24" i="6" s="1"/>
  <c r="G17" i="6"/>
  <c r="I17" i="6" s="1"/>
  <c r="V16" i="6"/>
  <c r="Y16" i="6" s="1"/>
  <c r="AA16" i="6" s="1"/>
  <c r="AB16" i="6" s="1"/>
  <c r="S16" i="6"/>
  <c r="U16" i="6" s="1"/>
  <c r="M16" i="6"/>
  <c r="O16" i="6" s="1"/>
  <c r="I16" i="6"/>
  <c r="G16" i="6"/>
  <c r="Y15" i="6"/>
  <c r="AA15" i="6" s="1"/>
  <c r="U15" i="6"/>
  <c r="S15" i="6"/>
  <c r="M15" i="6"/>
  <c r="O15" i="6" s="1"/>
  <c r="I15" i="6"/>
  <c r="G15" i="6"/>
  <c r="AB24" i="7" l="1"/>
  <c r="AA40" i="7"/>
  <c r="U24" i="6"/>
  <c r="U40" i="6" s="1"/>
  <c r="U41" i="6" s="1"/>
  <c r="I24" i="6"/>
  <c r="AB15" i="6"/>
  <c r="AA24" i="6"/>
  <c r="O24" i="6"/>
  <c r="AB19" i="6"/>
  <c r="M24" i="6"/>
  <c r="AB32" i="6"/>
  <c r="AB35" i="6"/>
  <c r="F40" i="6"/>
  <c r="O39" i="6"/>
  <c r="S24" i="6"/>
  <c r="S40" i="6" s="1"/>
  <c r="V24" i="6"/>
  <c r="Z40" i="6"/>
  <c r="Y31" i="6"/>
  <c r="AA31" i="6" s="1"/>
  <c r="AB31" i="6" s="1"/>
  <c r="U39" i="6"/>
  <c r="AB37" i="6"/>
  <c r="J39" i="6"/>
  <c r="M39" i="6" s="1"/>
  <c r="E40" i="6"/>
  <c r="P51" i="6"/>
  <c r="S51" i="6" s="1"/>
  <c r="J51" i="6"/>
  <c r="M51" i="6" s="1"/>
  <c r="V51" i="6" s="1"/>
  <c r="Y51" i="6" s="1"/>
  <c r="D40" i="6"/>
  <c r="G32" i="6"/>
  <c r="I32" i="6" s="1"/>
  <c r="I39" i="6" s="1"/>
  <c r="D39" i="6"/>
  <c r="G39" i="6" s="1"/>
  <c r="J53" i="6"/>
  <c r="M53" i="6" s="1"/>
  <c r="V53" i="6" s="1"/>
  <c r="Y53" i="6" s="1"/>
  <c r="P53" i="6"/>
  <c r="S53" i="6" s="1"/>
  <c r="M17" i="6"/>
  <c r="O17" i="6" s="1"/>
  <c r="AB17" i="6" s="1"/>
  <c r="G40" i="6"/>
  <c r="AB40" i="7" l="1"/>
  <c r="AA41" i="7"/>
  <c r="AB41" i="7" s="1"/>
  <c r="I40" i="6"/>
  <c r="I41" i="6" s="1"/>
  <c r="M40" i="6"/>
  <c r="O40" i="6"/>
  <c r="O41" i="6" s="1"/>
  <c r="V40" i="6"/>
  <c r="Y24" i="6"/>
  <c r="Y40" i="6" s="1"/>
  <c r="J40" i="6"/>
  <c r="AB24" i="6"/>
  <c r="AA39" i="6"/>
  <c r="AB39" i="6" s="1"/>
  <c r="AA40" i="6" l="1"/>
  <c r="AA41" i="6" l="1"/>
  <c r="AB41" i="6" s="1"/>
  <c r="AB40" i="6"/>
  <c r="Y54" i="5" l="1"/>
  <c r="M54" i="5"/>
  <c r="G54" i="5"/>
  <c r="S53" i="5"/>
  <c r="V53" i="5" s="1"/>
  <c r="Y53" i="5" s="1"/>
  <c r="Y50" i="5" s="1"/>
  <c r="M53" i="5"/>
  <c r="G53" i="5"/>
  <c r="Y52" i="5"/>
  <c r="M52" i="5"/>
  <c r="F52" i="5"/>
  <c r="G52" i="5" s="1"/>
  <c r="E52" i="5"/>
  <c r="Y51" i="5"/>
  <c r="M51" i="5"/>
  <c r="G51" i="5"/>
  <c r="G50" i="5" s="1"/>
  <c r="E51" i="5"/>
  <c r="S50" i="5"/>
  <c r="M50" i="5"/>
  <c r="E50" i="5"/>
  <c r="D50" i="5"/>
  <c r="X39" i="5"/>
  <c r="W39" i="5"/>
  <c r="T39" i="5"/>
  <c r="S39" i="5"/>
  <c r="R39" i="5"/>
  <c r="Q39" i="5"/>
  <c r="P39" i="5"/>
  <c r="N39" i="5"/>
  <c r="L39" i="5"/>
  <c r="K39" i="5"/>
  <c r="J39" i="5"/>
  <c r="M39" i="5" s="1"/>
  <c r="H39" i="5"/>
  <c r="F39" i="5"/>
  <c r="D39" i="5"/>
  <c r="Y38" i="5"/>
  <c r="AA38" i="5" s="1"/>
  <c r="AB38" i="5" s="1"/>
  <c r="S38" i="5"/>
  <c r="U38" i="5" s="1"/>
  <c r="M38" i="5"/>
  <c r="O38" i="5" s="1"/>
  <c r="G38" i="5"/>
  <c r="I38" i="5" s="1"/>
  <c r="E38" i="5"/>
  <c r="E39" i="5" s="1"/>
  <c r="G39" i="5" s="1"/>
  <c r="Y37" i="5"/>
  <c r="AA37" i="5" s="1"/>
  <c r="AB37" i="5" s="1"/>
  <c r="S37" i="5"/>
  <c r="U37" i="5" s="1"/>
  <c r="M37" i="5"/>
  <c r="O37" i="5" s="1"/>
  <c r="G37" i="5"/>
  <c r="I37" i="5" s="1"/>
  <c r="AA36" i="5"/>
  <c r="AB36" i="5" s="1"/>
  <c r="Y36" i="5"/>
  <c r="S36" i="5"/>
  <c r="U36" i="5" s="1"/>
  <c r="O36" i="5"/>
  <c r="M36" i="5"/>
  <c r="G36" i="5"/>
  <c r="I36" i="5" s="1"/>
  <c r="AA35" i="5"/>
  <c r="S35" i="5"/>
  <c r="U35" i="5" s="1"/>
  <c r="O35" i="5"/>
  <c r="O39" i="5" s="1"/>
  <c r="M35" i="5"/>
  <c r="G35" i="5"/>
  <c r="I35" i="5" s="1"/>
  <c r="Y34" i="5"/>
  <c r="AA34" i="5" s="1"/>
  <c r="AB34" i="5" s="1"/>
  <c r="S34" i="5"/>
  <c r="U34" i="5" s="1"/>
  <c r="M34" i="5"/>
  <c r="O34" i="5" s="1"/>
  <c r="G34" i="5"/>
  <c r="I34" i="5" s="1"/>
  <c r="Y33" i="5"/>
  <c r="AA33" i="5" s="1"/>
  <c r="AB33" i="5" s="1"/>
  <c r="U33" i="5"/>
  <c r="S33" i="5"/>
  <c r="M33" i="5"/>
  <c r="O33" i="5" s="1"/>
  <c r="I33" i="5"/>
  <c r="G33" i="5"/>
  <c r="Z32" i="5"/>
  <c r="Z39" i="5" s="1"/>
  <c r="X32" i="5"/>
  <c r="V32" i="5"/>
  <c r="V39" i="5" s="1"/>
  <c r="U32" i="5"/>
  <c r="S32" i="5"/>
  <c r="M32" i="5"/>
  <c r="O32" i="5" s="1"/>
  <c r="I32" i="5"/>
  <c r="G32" i="5"/>
  <c r="Y31" i="5"/>
  <c r="AA31" i="5" s="1"/>
  <c r="S31" i="5"/>
  <c r="U31" i="5" s="1"/>
  <c r="M31" i="5"/>
  <c r="O31" i="5" s="1"/>
  <c r="G31" i="5"/>
  <c r="I31" i="5" s="1"/>
  <c r="AA30" i="5"/>
  <c r="AB30" i="5" s="1"/>
  <c r="Y30" i="5"/>
  <c r="S30" i="5"/>
  <c r="U30" i="5" s="1"/>
  <c r="O30" i="5"/>
  <c r="M30" i="5"/>
  <c r="G30" i="5"/>
  <c r="I30" i="5" s="1"/>
  <c r="Y29" i="5"/>
  <c r="AA29" i="5" s="1"/>
  <c r="AB29" i="5" s="1"/>
  <c r="S29" i="5"/>
  <c r="U29" i="5" s="1"/>
  <c r="M29" i="5"/>
  <c r="O29" i="5" s="1"/>
  <c r="G29" i="5"/>
  <c r="I29" i="5" s="1"/>
  <c r="Y28" i="5"/>
  <c r="U28" i="5"/>
  <c r="S28" i="5"/>
  <c r="M28" i="5"/>
  <c r="O28" i="5" s="1"/>
  <c r="I28" i="5"/>
  <c r="G28" i="5"/>
  <c r="Z24" i="5"/>
  <c r="Z40" i="5" s="1"/>
  <c r="X24" i="5"/>
  <c r="X40" i="5" s="1"/>
  <c r="W24" i="5"/>
  <c r="W40" i="5" s="1"/>
  <c r="V24" i="5"/>
  <c r="Y24" i="5" s="1"/>
  <c r="T24" i="5"/>
  <c r="T40" i="5" s="1"/>
  <c r="R24" i="5"/>
  <c r="S24" i="5" s="1"/>
  <c r="S40" i="5" s="1"/>
  <c r="Q24" i="5"/>
  <c r="Q40" i="5" s="1"/>
  <c r="P24" i="5"/>
  <c r="P40" i="5" s="1"/>
  <c r="N24" i="5"/>
  <c r="N40" i="5" s="1"/>
  <c r="L24" i="5"/>
  <c r="L40" i="5" s="1"/>
  <c r="K24" i="5"/>
  <c r="K40" i="5" s="1"/>
  <c r="J24" i="5"/>
  <c r="M24" i="5" s="1"/>
  <c r="M40" i="5" s="1"/>
  <c r="H24" i="5"/>
  <c r="H40" i="5" s="1"/>
  <c r="F24" i="5"/>
  <c r="G24" i="5" s="1"/>
  <c r="E24" i="5"/>
  <c r="E40" i="5" s="1"/>
  <c r="D24" i="5"/>
  <c r="D40" i="5" s="1"/>
  <c r="AA23" i="5"/>
  <c r="AB23" i="5" s="1"/>
  <c r="Y23" i="5"/>
  <c r="S23" i="5"/>
  <c r="U23" i="5" s="1"/>
  <c r="O23" i="5"/>
  <c r="M23" i="5"/>
  <c r="G23" i="5"/>
  <c r="I23" i="5" s="1"/>
  <c r="AB22" i="5"/>
  <c r="AA22" i="5"/>
  <c r="Y22" i="5"/>
  <c r="S22" i="5"/>
  <c r="U22" i="5" s="1"/>
  <c r="O22" i="5"/>
  <c r="M22" i="5"/>
  <c r="G22" i="5"/>
  <c r="I22" i="5" s="1"/>
  <c r="Y21" i="5"/>
  <c r="AA21" i="5" s="1"/>
  <c r="AB21" i="5" s="1"/>
  <c r="U21" i="5"/>
  <c r="S21" i="5"/>
  <c r="M21" i="5"/>
  <c r="O21" i="5" s="1"/>
  <c r="I21" i="5"/>
  <c r="G21" i="5"/>
  <c r="Y20" i="5"/>
  <c r="AA20" i="5" s="1"/>
  <c r="AB20" i="5" s="1"/>
  <c r="U20" i="5"/>
  <c r="S20" i="5"/>
  <c r="M20" i="5"/>
  <c r="O20" i="5" s="1"/>
  <c r="I20" i="5"/>
  <c r="Y19" i="5"/>
  <c r="AA19" i="5" s="1"/>
  <c r="U19" i="5"/>
  <c r="S19" i="5"/>
  <c r="M19" i="5"/>
  <c r="O19" i="5" s="1"/>
  <c r="I19" i="5"/>
  <c r="G19" i="5"/>
  <c r="AA18" i="5"/>
  <c r="AB18" i="5" s="1"/>
  <c r="Y18" i="5"/>
  <c r="S18" i="5"/>
  <c r="U18" i="5" s="1"/>
  <c r="O18" i="5"/>
  <c r="M18" i="5"/>
  <c r="I18" i="5"/>
  <c r="AA17" i="5"/>
  <c r="AB17" i="5" s="1"/>
  <c r="Y17" i="5"/>
  <c r="S17" i="5"/>
  <c r="U17" i="5" s="1"/>
  <c r="O17" i="5"/>
  <c r="M17" i="5"/>
  <c r="G17" i="5"/>
  <c r="I17" i="5" s="1"/>
  <c r="AB16" i="5"/>
  <c r="AA16" i="5"/>
  <c r="Y16" i="5"/>
  <c r="S16" i="5"/>
  <c r="U16" i="5" s="1"/>
  <c r="O16" i="5"/>
  <c r="M16" i="5"/>
  <c r="G16" i="5"/>
  <c r="I16" i="5" s="1"/>
  <c r="Y15" i="5"/>
  <c r="AA15" i="5" s="1"/>
  <c r="U15" i="5"/>
  <c r="U24" i="5" s="1"/>
  <c r="S15" i="5"/>
  <c r="M15" i="5"/>
  <c r="O15" i="5" s="1"/>
  <c r="I15" i="5"/>
  <c r="I24" i="5" s="1"/>
  <c r="G15" i="5"/>
  <c r="U40" i="5" l="1"/>
  <c r="U41" i="5" s="1"/>
  <c r="U39" i="5"/>
  <c r="AB15" i="5"/>
  <c r="AA24" i="5"/>
  <c r="G40" i="5"/>
  <c r="I39" i="5"/>
  <c r="I40" i="5" s="1"/>
  <c r="I41" i="5" s="1"/>
  <c r="O24" i="5"/>
  <c r="O40" i="5" s="1"/>
  <c r="O41" i="5" s="1"/>
  <c r="AB19" i="5"/>
  <c r="AB31" i="5"/>
  <c r="F40" i="5"/>
  <c r="J40" i="5"/>
  <c r="V40" i="5"/>
  <c r="AA28" i="5"/>
  <c r="F50" i="5"/>
  <c r="AB35" i="5"/>
  <c r="R40" i="5"/>
  <c r="Y32" i="5"/>
  <c r="AA32" i="5" s="1"/>
  <c r="AB32" i="5" s="1"/>
  <c r="AB28" i="5" l="1"/>
  <c r="AA39" i="5"/>
  <c r="AB39" i="5" s="1"/>
  <c r="AB24" i="5"/>
  <c r="AA40" i="5"/>
  <c r="Y39" i="5"/>
  <c r="Y40" i="5" s="1"/>
  <c r="AA41" i="5" l="1"/>
  <c r="AB41" i="5" s="1"/>
  <c r="AB40" i="5"/>
  <c r="G15" i="4" l="1"/>
  <c r="I15" i="4"/>
  <c r="M15" i="4"/>
  <c r="O15" i="4"/>
  <c r="S15" i="4"/>
  <c r="U15" i="4"/>
  <c r="Y15" i="4"/>
  <c r="AA15" i="4"/>
  <c r="AB15" i="4" s="1"/>
  <c r="G16" i="4"/>
  <c r="I16" i="4" s="1"/>
  <c r="M16" i="4"/>
  <c r="O16" i="4" s="1"/>
  <c r="S16" i="4"/>
  <c r="U16" i="4" s="1"/>
  <c r="Y16" i="4"/>
  <c r="AA16" i="4" s="1"/>
  <c r="G17" i="4"/>
  <c r="I17" i="4"/>
  <c r="M17" i="4"/>
  <c r="O17" i="4"/>
  <c r="S17" i="4"/>
  <c r="U17" i="4"/>
  <c r="Y17" i="4"/>
  <c r="AA17" i="4"/>
  <c r="AB17" i="4" s="1"/>
  <c r="G18" i="4"/>
  <c r="I18" i="4" s="1"/>
  <c r="M18" i="4"/>
  <c r="O18" i="4" s="1"/>
  <c r="S18" i="4"/>
  <c r="U18" i="4" s="1"/>
  <c r="Y18" i="4"/>
  <c r="AA18" i="4" s="1"/>
  <c r="AB18" i="4" s="1"/>
  <c r="G19" i="4"/>
  <c r="I19" i="4"/>
  <c r="M19" i="4"/>
  <c r="O19" i="4"/>
  <c r="S19" i="4"/>
  <c r="U19" i="4"/>
  <c r="Y19" i="4"/>
  <c r="AA19" i="4"/>
  <c r="AB19" i="4" s="1"/>
  <c r="G20" i="4"/>
  <c r="I20" i="4" s="1"/>
  <c r="M20" i="4"/>
  <c r="O20" i="4" s="1"/>
  <c r="S20" i="4"/>
  <c r="U20" i="4" s="1"/>
  <c r="Y20" i="4"/>
  <c r="AA20" i="4" s="1"/>
  <c r="AB20" i="4" s="1"/>
  <c r="G21" i="4"/>
  <c r="I21" i="4"/>
  <c r="M21" i="4"/>
  <c r="O21" i="4"/>
  <c r="S21" i="4"/>
  <c r="U21" i="4"/>
  <c r="Y21" i="4"/>
  <c r="AA21" i="4"/>
  <c r="AB21" i="4" s="1"/>
  <c r="G22" i="4"/>
  <c r="I22" i="4" s="1"/>
  <c r="M22" i="4"/>
  <c r="O22" i="4" s="1"/>
  <c r="S22" i="4"/>
  <c r="U22" i="4" s="1"/>
  <c r="Y22" i="4"/>
  <c r="AA22" i="4" s="1"/>
  <c r="AB22" i="4" s="1"/>
  <c r="G23" i="4"/>
  <c r="I23" i="4"/>
  <c r="M23" i="4"/>
  <c r="O23" i="4"/>
  <c r="S23" i="4"/>
  <c r="U23" i="4"/>
  <c r="Y23" i="4"/>
  <c r="AA23" i="4"/>
  <c r="AB23" i="4" s="1"/>
  <c r="D24" i="4"/>
  <c r="G24" i="4" s="1"/>
  <c r="E24" i="4"/>
  <c r="F24" i="4"/>
  <c r="F42" i="4" s="1"/>
  <c r="H24" i="4"/>
  <c r="J24" i="4"/>
  <c r="M24" i="4" s="1"/>
  <c r="K24" i="4"/>
  <c r="L24" i="4"/>
  <c r="N24" i="4"/>
  <c r="N42" i="4" s="1"/>
  <c r="P24" i="4"/>
  <c r="S24" i="4" s="1"/>
  <c r="Q24" i="4"/>
  <c r="R24" i="4"/>
  <c r="R42" i="4" s="1"/>
  <c r="T24" i="4"/>
  <c r="V24" i="4"/>
  <c r="Y24" i="4" s="1"/>
  <c r="W24" i="4"/>
  <c r="X24" i="4"/>
  <c r="Z24" i="4"/>
  <c r="Z42" i="4" s="1"/>
  <c r="G28" i="4"/>
  <c r="I28" i="4"/>
  <c r="M28" i="4"/>
  <c r="O28" i="4"/>
  <c r="S28" i="4"/>
  <c r="U28" i="4"/>
  <c r="Y28" i="4"/>
  <c r="AA28" i="4"/>
  <c r="AB28" i="4" s="1"/>
  <c r="G29" i="4"/>
  <c r="I29" i="4"/>
  <c r="M29" i="4"/>
  <c r="O29" i="4" s="1"/>
  <c r="S29" i="4"/>
  <c r="U29" i="4"/>
  <c r="Y29" i="4"/>
  <c r="AA29" i="4" s="1"/>
  <c r="G30" i="4"/>
  <c r="I30" i="4"/>
  <c r="M30" i="4"/>
  <c r="O30" i="4"/>
  <c r="S30" i="4"/>
  <c r="U30" i="4"/>
  <c r="Y30" i="4"/>
  <c r="AA30" i="4"/>
  <c r="AB30" i="4"/>
  <c r="G31" i="4"/>
  <c r="I31" i="4" s="1"/>
  <c r="S31" i="4"/>
  <c r="U31" i="4"/>
  <c r="Y31" i="4"/>
  <c r="G32" i="4"/>
  <c r="I32" i="4"/>
  <c r="M32" i="4"/>
  <c r="O32" i="4"/>
  <c r="S32" i="4"/>
  <c r="U32" i="4"/>
  <c r="Y32" i="4"/>
  <c r="AA32" i="4"/>
  <c r="AB32" i="4" s="1"/>
  <c r="G33" i="4"/>
  <c r="I33" i="4"/>
  <c r="M33" i="4"/>
  <c r="O33" i="4" s="1"/>
  <c r="S33" i="4"/>
  <c r="U33" i="4"/>
  <c r="Y33" i="4"/>
  <c r="AA33" i="4" s="1"/>
  <c r="AB33" i="4" s="1"/>
  <c r="G34" i="4"/>
  <c r="I34" i="4"/>
  <c r="M34" i="4"/>
  <c r="O34" i="4"/>
  <c r="S34" i="4"/>
  <c r="U34" i="4"/>
  <c r="Y34" i="4"/>
  <c r="AA34" i="4"/>
  <c r="AB34" i="4"/>
  <c r="G35" i="4"/>
  <c r="I35" i="4" s="1"/>
  <c r="M35" i="4"/>
  <c r="O35" i="4"/>
  <c r="S35" i="4"/>
  <c r="U35" i="4" s="1"/>
  <c r="Y35" i="4"/>
  <c r="AA35" i="4"/>
  <c r="AB35" i="4"/>
  <c r="G36" i="4"/>
  <c r="I36" i="4"/>
  <c r="M36" i="4"/>
  <c r="O36" i="4"/>
  <c r="S36" i="4"/>
  <c r="U36" i="4"/>
  <c r="Y36" i="4"/>
  <c r="AA36" i="4"/>
  <c r="AB36" i="4" s="1"/>
  <c r="G37" i="4"/>
  <c r="I37" i="4"/>
  <c r="M37" i="4"/>
  <c r="O37" i="4" s="1"/>
  <c r="S37" i="4"/>
  <c r="U37" i="4"/>
  <c r="Y37" i="4"/>
  <c r="AA37" i="4" s="1"/>
  <c r="G38" i="4"/>
  <c r="I38" i="4"/>
  <c r="M38" i="4"/>
  <c r="O38" i="4"/>
  <c r="S38" i="4"/>
  <c r="U38" i="4"/>
  <c r="Y38" i="4"/>
  <c r="AA38" i="4"/>
  <c r="AB38" i="4"/>
  <c r="G39" i="4"/>
  <c r="I39" i="4" s="1"/>
  <c r="M39" i="4"/>
  <c r="O39" i="4"/>
  <c r="S39" i="4"/>
  <c r="U39" i="4" s="1"/>
  <c r="Y39" i="4"/>
  <c r="AA39" i="4"/>
  <c r="AB39" i="4"/>
  <c r="G40" i="4"/>
  <c r="I40" i="4"/>
  <c r="M40" i="4"/>
  <c r="O40" i="4"/>
  <c r="S40" i="4"/>
  <c r="U40" i="4"/>
  <c r="Y40" i="4"/>
  <c r="AA40" i="4"/>
  <c r="AB40" i="4" s="1"/>
  <c r="D41" i="4"/>
  <c r="G41" i="4" s="1"/>
  <c r="E41" i="4"/>
  <c r="F41" i="4"/>
  <c r="H41" i="4"/>
  <c r="J41" i="4"/>
  <c r="M41" i="4" s="1"/>
  <c r="K41" i="4"/>
  <c r="L41" i="4"/>
  <c r="N41" i="4"/>
  <c r="P41" i="4"/>
  <c r="S41" i="4" s="1"/>
  <c r="Q41" i="4"/>
  <c r="R41" i="4"/>
  <c r="T41" i="4"/>
  <c r="V41" i="4"/>
  <c r="Y41" i="4" s="1"/>
  <c r="W41" i="4"/>
  <c r="X41" i="4"/>
  <c r="Z41" i="4"/>
  <c r="D42" i="4"/>
  <c r="E42" i="4"/>
  <c r="H42" i="4"/>
  <c r="K42" i="4"/>
  <c r="L42" i="4"/>
  <c r="P42" i="4"/>
  <c r="Q42" i="4"/>
  <c r="T42" i="4"/>
  <c r="W42" i="4"/>
  <c r="X42" i="4"/>
  <c r="G52" i="4"/>
  <c r="M52" i="4"/>
  <c r="S52" i="4"/>
  <c r="Y52" i="4"/>
  <c r="G53" i="4"/>
  <c r="M53" i="4"/>
  <c r="S53" i="4"/>
  <c r="Y53" i="4"/>
  <c r="G54" i="4"/>
  <c r="M54" i="4"/>
  <c r="S54" i="4"/>
  <c r="Y54" i="4"/>
  <c r="G55" i="4"/>
  <c r="M55" i="4"/>
  <c r="S55" i="4"/>
  <c r="Y55" i="4"/>
  <c r="G56" i="4"/>
  <c r="M56" i="4"/>
  <c r="S56" i="4"/>
  <c r="Y56" i="4"/>
  <c r="AA24" i="4" l="1"/>
  <c r="AB16" i="4"/>
  <c r="AB37" i="4"/>
  <c r="AB29" i="4"/>
  <c r="O24" i="4"/>
  <c r="U24" i="4"/>
  <c r="I24" i="4"/>
  <c r="I42" i="4" s="1"/>
  <c r="I43" i="4" s="1"/>
  <c r="U41" i="4"/>
  <c r="I41" i="4"/>
  <c r="O41" i="4"/>
  <c r="Y42" i="4"/>
  <c r="S42" i="4"/>
  <c r="M42" i="4"/>
  <c r="G42" i="4"/>
  <c r="V42" i="4"/>
  <c r="J42" i="4"/>
  <c r="AA41" i="4"/>
  <c r="U42" i="4" l="1"/>
  <c r="U43" i="4" s="1"/>
  <c r="AB41" i="4"/>
  <c r="O42" i="4"/>
  <c r="O43" i="4" s="1"/>
  <c r="AB24" i="4"/>
  <c r="AA42" i="4"/>
  <c r="AB42" i="4" l="1"/>
  <c r="AA43" i="4"/>
  <c r="AB43" i="4" s="1"/>
  <c r="Y53" i="3" l="1"/>
  <c r="S53" i="3"/>
  <c r="M53" i="3"/>
  <c r="G53" i="3"/>
  <c r="V52" i="3"/>
  <c r="Y52" i="3" s="1"/>
  <c r="S52" i="3"/>
  <c r="M52" i="3"/>
  <c r="G52" i="3"/>
  <c r="Y51" i="3"/>
  <c r="S51" i="3"/>
  <c r="M51" i="3"/>
  <c r="G51" i="3"/>
  <c r="Y50" i="3"/>
  <c r="V50" i="3"/>
  <c r="S50" i="3"/>
  <c r="M50" i="3"/>
  <c r="G50" i="3"/>
  <c r="Z39" i="3"/>
  <c r="X39" i="3"/>
  <c r="W39" i="3"/>
  <c r="T39" i="3"/>
  <c r="R39" i="3"/>
  <c r="N39" i="3"/>
  <c r="H39" i="3"/>
  <c r="F39" i="3"/>
  <c r="Y38" i="3"/>
  <c r="AA38" i="3" s="1"/>
  <c r="S38" i="3"/>
  <c r="U38" i="3" s="1"/>
  <c r="P38" i="3"/>
  <c r="J38" i="3"/>
  <c r="M38" i="3" s="1"/>
  <c r="O38" i="3" s="1"/>
  <c r="E38" i="3"/>
  <c r="D38" i="3"/>
  <c r="D39" i="3" s="1"/>
  <c r="AA37" i="3"/>
  <c r="AB37" i="3" s="1"/>
  <c r="Y37" i="3"/>
  <c r="U37" i="3"/>
  <c r="S37" i="3"/>
  <c r="O37" i="3"/>
  <c r="M37" i="3"/>
  <c r="I37" i="3"/>
  <c r="G37" i="3"/>
  <c r="Y36" i="3"/>
  <c r="AA36" i="3" s="1"/>
  <c r="AB36" i="3" s="1"/>
  <c r="S36" i="3"/>
  <c r="U36" i="3" s="1"/>
  <c r="M36" i="3"/>
  <c r="O36" i="3" s="1"/>
  <c r="G36" i="3"/>
  <c r="I36" i="3" s="1"/>
  <c r="AA35" i="3"/>
  <c r="Y35" i="3"/>
  <c r="Q35" i="3"/>
  <c r="S35" i="3" s="1"/>
  <c r="U35" i="3" s="1"/>
  <c r="P35" i="3"/>
  <c r="K35" i="3"/>
  <c r="M35" i="3" s="1"/>
  <c r="O35" i="3" s="1"/>
  <c r="G35" i="3"/>
  <c r="I35" i="3" s="1"/>
  <c r="AA34" i="3"/>
  <c r="AB34" i="3" s="1"/>
  <c r="Y34" i="3"/>
  <c r="U34" i="3"/>
  <c r="S34" i="3"/>
  <c r="O34" i="3"/>
  <c r="M34" i="3"/>
  <c r="I34" i="3"/>
  <c r="G34" i="3"/>
  <c r="Y33" i="3"/>
  <c r="AA33" i="3" s="1"/>
  <c r="S33" i="3"/>
  <c r="U33" i="3" s="1"/>
  <c r="Q33" i="3"/>
  <c r="P33" i="3"/>
  <c r="M33" i="3"/>
  <c r="O33" i="3" s="1"/>
  <c r="K33" i="3"/>
  <c r="I33" i="3"/>
  <c r="G33" i="3"/>
  <c r="W32" i="3"/>
  <c r="V32" i="3"/>
  <c r="V39" i="3" s="1"/>
  <c r="Y39" i="3" s="1"/>
  <c r="Q32" i="3"/>
  <c r="P32" i="3"/>
  <c r="S32" i="3" s="1"/>
  <c r="U32" i="3" s="1"/>
  <c r="K32" i="3"/>
  <c r="J32" i="3"/>
  <c r="M32" i="3" s="1"/>
  <c r="O32" i="3" s="1"/>
  <c r="G32" i="3"/>
  <c r="I32" i="3" s="1"/>
  <c r="AA31" i="3"/>
  <c r="Y31" i="3"/>
  <c r="Q31" i="3"/>
  <c r="S31" i="3" s="1"/>
  <c r="U31" i="3" s="1"/>
  <c r="P31" i="3"/>
  <c r="L31" i="3"/>
  <c r="L39" i="3" s="1"/>
  <c r="K31" i="3"/>
  <c r="I31" i="3"/>
  <c r="G31" i="3"/>
  <c r="Y30" i="3"/>
  <c r="AA30" i="3" s="1"/>
  <c r="AB30" i="3" s="1"/>
  <c r="S30" i="3"/>
  <c r="U30" i="3" s="1"/>
  <c r="M30" i="3"/>
  <c r="O30" i="3" s="1"/>
  <c r="J30" i="3"/>
  <c r="I30" i="3"/>
  <c r="G30" i="3"/>
  <c r="Y29" i="3"/>
  <c r="AA29" i="3" s="1"/>
  <c r="AB29" i="3" s="1"/>
  <c r="S29" i="3"/>
  <c r="U29" i="3" s="1"/>
  <c r="P29" i="3"/>
  <c r="P39" i="3" s="1"/>
  <c r="O29" i="3"/>
  <c r="M29" i="3"/>
  <c r="E29" i="3"/>
  <c r="G29" i="3" s="1"/>
  <c r="I29" i="3" s="1"/>
  <c r="AA28" i="3"/>
  <c r="AB28" i="3" s="1"/>
  <c r="Y28" i="3"/>
  <c r="U28" i="3"/>
  <c r="S28" i="3"/>
  <c r="O28" i="3"/>
  <c r="M28" i="3"/>
  <c r="I28" i="3"/>
  <c r="G28" i="3"/>
  <c r="Z24" i="3"/>
  <c r="Z40" i="3" s="1"/>
  <c r="X24" i="3"/>
  <c r="X40" i="3" s="1"/>
  <c r="W24" i="3"/>
  <c r="W40" i="3" s="1"/>
  <c r="V24" i="3"/>
  <c r="V40" i="3" s="1"/>
  <c r="T24" i="3"/>
  <c r="T40" i="3" s="1"/>
  <c r="R24" i="3"/>
  <c r="R40" i="3" s="1"/>
  <c r="P24" i="3"/>
  <c r="N24" i="3"/>
  <c r="N40" i="3" s="1"/>
  <c r="L24" i="3"/>
  <c r="L40" i="3" s="1"/>
  <c r="J24" i="3"/>
  <c r="H24" i="3"/>
  <c r="H40" i="3" s="1"/>
  <c r="F24" i="3"/>
  <c r="F40" i="3" s="1"/>
  <c r="D24" i="3"/>
  <c r="G24" i="3" s="1"/>
  <c r="AA23" i="3"/>
  <c r="AB23" i="3" s="1"/>
  <c r="Y23" i="3"/>
  <c r="U23" i="3"/>
  <c r="S23" i="3"/>
  <c r="O23" i="3"/>
  <c r="M23" i="3"/>
  <c r="I23" i="3"/>
  <c r="G23" i="3"/>
  <c r="Y22" i="3"/>
  <c r="AA22" i="3" s="1"/>
  <c r="S22" i="3"/>
  <c r="U22" i="3" s="1"/>
  <c r="M22" i="3"/>
  <c r="O22" i="3" s="1"/>
  <c r="G22" i="3"/>
  <c r="I22" i="3" s="1"/>
  <c r="AA21" i="3"/>
  <c r="AB21" i="3" s="1"/>
  <c r="Y21" i="3"/>
  <c r="U21" i="3"/>
  <c r="S21" i="3"/>
  <c r="O21" i="3"/>
  <c r="M21" i="3"/>
  <c r="I21" i="3"/>
  <c r="G21" i="3"/>
  <c r="Y20" i="3"/>
  <c r="AA20" i="3" s="1"/>
  <c r="S20" i="3"/>
  <c r="U20" i="3" s="1"/>
  <c r="M20" i="3"/>
  <c r="O20" i="3" s="1"/>
  <c r="G20" i="3"/>
  <c r="I20" i="3" s="1"/>
  <c r="AA19" i="3"/>
  <c r="AB19" i="3" s="1"/>
  <c r="Y19" i="3"/>
  <c r="U19" i="3"/>
  <c r="S19" i="3"/>
  <c r="O19" i="3"/>
  <c r="M19" i="3"/>
  <c r="I19" i="3"/>
  <c r="G19" i="3"/>
  <c r="Y18" i="3"/>
  <c r="AA18" i="3" s="1"/>
  <c r="S18" i="3"/>
  <c r="U18" i="3" s="1"/>
  <c r="Q18" i="3"/>
  <c r="Q24" i="3" s="1"/>
  <c r="K18" i="3"/>
  <c r="K24" i="3" s="1"/>
  <c r="G18" i="3"/>
  <c r="I18" i="3" s="1"/>
  <c r="E18" i="3"/>
  <c r="E24" i="3" s="1"/>
  <c r="Y17" i="3"/>
  <c r="AA17" i="3" s="1"/>
  <c r="AB17" i="3" s="1"/>
  <c r="S17" i="3"/>
  <c r="U17" i="3" s="1"/>
  <c r="M17" i="3"/>
  <c r="O17" i="3" s="1"/>
  <c r="G17" i="3"/>
  <c r="I17" i="3" s="1"/>
  <c r="AA16" i="3"/>
  <c r="AB16" i="3" s="1"/>
  <c r="Y16" i="3"/>
  <c r="U16" i="3"/>
  <c r="S16" i="3"/>
  <c r="O16" i="3"/>
  <c r="M16" i="3"/>
  <c r="I16" i="3"/>
  <c r="G16" i="3"/>
  <c r="Y15" i="3"/>
  <c r="AA15" i="3" s="1"/>
  <c r="S15" i="3"/>
  <c r="U15" i="3" s="1"/>
  <c r="U24" i="3" s="1"/>
  <c r="M15" i="3"/>
  <c r="O15" i="3" s="1"/>
  <c r="G15" i="3"/>
  <c r="I15" i="3" s="1"/>
  <c r="AA24" i="3" l="1"/>
  <c r="AB15" i="3"/>
  <c r="AB35" i="3"/>
  <c r="G40" i="3"/>
  <c r="I24" i="3"/>
  <c r="G39" i="3"/>
  <c r="U40" i="3"/>
  <c r="U41" i="3" s="1"/>
  <c r="S24" i="3"/>
  <c r="O24" i="3"/>
  <c r="AB20" i="3"/>
  <c r="AB22" i="3"/>
  <c r="J40" i="3"/>
  <c r="AB33" i="3"/>
  <c r="U39" i="3"/>
  <c r="AB38" i="3"/>
  <c r="S39" i="3"/>
  <c r="D40" i="3"/>
  <c r="P40" i="3"/>
  <c r="Y32" i="3"/>
  <c r="AA32" i="3" s="1"/>
  <c r="AB32" i="3" s="1"/>
  <c r="G38" i="3"/>
  <c r="I38" i="3" s="1"/>
  <c r="I39" i="3" s="1"/>
  <c r="E39" i="3"/>
  <c r="E40" i="3" s="1"/>
  <c r="Q39" i="3"/>
  <c r="Q40" i="3" s="1"/>
  <c r="M24" i="3"/>
  <c r="Y24" i="3"/>
  <c r="Y40" i="3" s="1"/>
  <c r="J39" i="3"/>
  <c r="K39" i="3"/>
  <c r="K40" i="3" s="1"/>
  <c r="AA39" i="3"/>
  <c r="M18" i="3"/>
  <c r="O18" i="3" s="1"/>
  <c r="AB18" i="3" s="1"/>
  <c r="M31" i="3"/>
  <c r="O31" i="3" s="1"/>
  <c r="AB31" i="3" s="1"/>
  <c r="M39" i="3" l="1"/>
  <c r="I40" i="3"/>
  <c r="I41" i="3" s="1"/>
  <c r="O39" i="3"/>
  <c r="AB39" i="3"/>
  <c r="M40" i="3"/>
  <c r="S40" i="3"/>
  <c r="AA40" i="3"/>
  <c r="AB24" i="3"/>
  <c r="O40" i="3"/>
  <c r="O41" i="3" s="1"/>
  <c r="AA41" i="3" l="1"/>
  <c r="AB41" i="3" s="1"/>
  <c r="AB40" i="3"/>
  <c r="G15" i="2" l="1"/>
  <c r="I15" i="2" s="1"/>
  <c r="M15" i="2"/>
  <c r="O15" i="2"/>
  <c r="S15" i="2"/>
  <c r="U15" i="2" s="1"/>
  <c r="Y15" i="2"/>
  <c r="AA15" i="2"/>
  <c r="AB15" i="2" s="1"/>
  <c r="G16" i="2"/>
  <c r="I16" i="2" s="1"/>
  <c r="M16" i="2"/>
  <c r="O16" i="2" s="1"/>
  <c r="S16" i="2"/>
  <c r="U16" i="2" s="1"/>
  <c r="Y16" i="2"/>
  <c r="AA16" i="2" s="1"/>
  <c r="G17" i="2"/>
  <c r="I17" i="2"/>
  <c r="M17" i="2"/>
  <c r="O17" i="2" s="1"/>
  <c r="S17" i="2"/>
  <c r="U17" i="2"/>
  <c r="Y17" i="2"/>
  <c r="AA17" i="2" s="1"/>
  <c r="AB17" i="2" s="1"/>
  <c r="G18" i="2"/>
  <c r="I18" i="2" s="1"/>
  <c r="M18" i="2"/>
  <c r="O18" i="2" s="1"/>
  <c r="S18" i="2"/>
  <c r="U18" i="2" s="1"/>
  <c r="Y18" i="2"/>
  <c r="AA18" i="2" s="1"/>
  <c r="AB18" i="2" s="1"/>
  <c r="G19" i="2"/>
  <c r="I19" i="2" s="1"/>
  <c r="M19" i="2"/>
  <c r="O19" i="2"/>
  <c r="S19" i="2"/>
  <c r="U19" i="2" s="1"/>
  <c r="Y19" i="2"/>
  <c r="AA19" i="2"/>
  <c r="AB19" i="2" s="1"/>
  <c r="G20" i="2"/>
  <c r="I20" i="2" s="1"/>
  <c r="M20" i="2"/>
  <c r="O20" i="2" s="1"/>
  <c r="S20" i="2"/>
  <c r="U20" i="2" s="1"/>
  <c r="Y20" i="2"/>
  <c r="AA20" i="2" s="1"/>
  <c r="G21" i="2"/>
  <c r="I21" i="2"/>
  <c r="L21" i="2"/>
  <c r="M21" i="2" s="1"/>
  <c r="O21" i="2" s="1"/>
  <c r="S21" i="2"/>
  <c r="U21" i="2" s="1"/>
  <c r="Y21" i="2"/>
  <c r="AA21" i="2" s="1"/>
  <c r="AB21" i="2" s="1"/>
  <c r="G22" i="2"/>
  <c r="I22" i="2" s="1"/>
  <c r="M22" i="2"/>
  <c r="O22" i="2"/>
  <c r="S22" i="2"/>
  <c r="U22" i="2" s="1"/>
  <c r="Y22" i="2"/>
  <c r="AA22" i="2"/>
  <c r="AB22" i="2" s="1"/>
  <c r="G23" i="2"/>
  <c r="I23" i="2" s="1"/>
  <c r="M23" i="2"/>
  <c r="O23" i="2" s="1"/>
  <c r="S23" i="2"/>
  <c r="U23" i="2" s="1"/>
  <c r="Y23" i="2"/>
  <c r="AA23" i="2" s="1"/>
  <c r="D24" i="2"/>
  <c r="E24" i="2"/>
  <c r="G24" i="2" s="1"/>
  <c r="F24" i="2"/>
  <c r="H24" i="2"/>
  <c r="J24" i="2"/>
  <c r="K24" i="2"/>
  <c r="N24" i="2"/>
  <c r="P24" i="2"/>
  <c r="Q24" i="2"/>
  <c r="S24" i="2" s="1"/>
  <c r="R24" i="2"/>
  <c r="T24" i="2"/>
  <c r="V24" i="2"/>
  <c r="W24" i="2"/>
  <c r="X24" i="2"/>
  <c r="Y24" i="2"/>
  <c r="Z24" i="2"/>
  <c r="G28" i="2"/>
  <c r="I28" i="2" s="1"/>
  <c r="M28" i="2"/>
  <c r="O28" i="2" s="1"/>
  <c r="S28" i="2"/>
  <c r="U28" i="2" s="1"/>
  <c r="X28" i="2"/>
  <c r="Y28" i="2" s="1"/>
  <c r="AA28" i="2" s="1"/>
  <c r="G29" i="2"/>
  <c r="I29" i="2" s="1"/>
  <c r="M29" i="2"/>
  <c r="O29" i="2" s="1"/>
  <c r="S29" i="2"/>
  <c r="U29" i="2" s="1"/>
  <c r="X29" i="2"/>
  <c r="Y29" i="2" s="1"/>
  <c r="AA29" i="2" s="1"/>
  <c r="G30" i="2"/>
  <c r="I30" i="2" s="1"/>
  <c r="M30" i="2"/>
  <c r="O30" i="2" s="1"/>
  <c r="S30" i="2"/>
  <c r="U30" i="2" s="1"/>
  <c r="X30" i="2"/>
  <c r="Y30" i="2" s="1"/>
  <c r="AA30" i="2" s="1"/>
  <c r="G31" i="2"/>
  <c r="I31" i="2" s="1"/>
  <c r="M31" i="2"/>
  <c r="O31" i="2" s="1"/>
  <c r="S31" i="2"/>
  <c r="U31" i="2" s="1"/>
  <c r="X31" i="2"/>
  <c r="Y31" i="2" s="1"/>
  <c r="AA31" i="2" s="1"/>
  <c r="G32" i="2"/>
  <c r="I32" i="2" s="1"/>
  <c r="M32" i="2"/>
  <c r="O32" i="2" s="1"/>
  <c r="S32" i="2"/>
  <c r="U32" i="2" s="1"/>
  <c r="W32" i="2"/>
  <c r="X32" i="2"/>
  <c r="Y32" i="2"/>
  <c r="AA32" i="2" s="1"/>
  <c r="G33" i="2"/>
  <c r="I33" i="2"/>
  <c r="M33" i="2"/>
  <c r="O33" i="2" s="1"/>
  <c r="S33" i="2"/>
  <c r="U33" i="2"/>
  <c r="Y33" i="2"/>
  <c r="AA33" i="2" s="1"/>
  <c r="G34" i="2"/>
  <c r="I34" i="2" s="1"/>
  <c r="M34" i="2"/>
  <c r="O34" i="2" s="1"/>
  <c r="S34" i="2"/>
  <c r="U34" i="2" s="1"/>
  <c r="Y34" i="2"/>
  <c r="AA34" i="2" s="1"/>
  <c r="G35" i="2"/>
  <c r="I35" i="2" s="1"/>
  <c r="I39" i="2" s="1"/>
  <c r="M35" i="2"/>
  <c r="O35" i="2"/>
  <c r="S35" i="2"/>
  <c r="U35" i="2"/>
  <c r="W35" i="2"/>
  <c r="X35" i="2"/>
  <c r="Y35" i="2" s="1"/>
  <c r="AA35" i="2" s="1"/>
  <c r="G36" i="2"/>
  <c r="I36" i="2" s="1"/>
  <c r="M36" i="2"/>
  <c r="O36" i="2" s="1"/>
  <c r="S36" i="2"/>
  <c r="U36" i="2" s="1"/>
  <c r="Y36" i="2"/>
  <c r="AA36" i="2" s="1"/>
  <c r="AB36" i="2" s="1"/>
  <c r="G37" i="2"/>
  <c r="I37" i="2"/>
  <c r="M37" i="2"/>
  <c r="O37" i="2"/>
  <c r="S37" i="2"/>
  <c r="U37" i="2"/>
  <c r="X37" i="2"/>
  <c r="Y37" i="2"/>
  <c r="AA37" i="2" s="1"/>
  <c r="AB37" i="2" s="1"/>
  <c r="G38" i="2"/>
  <c r="I38" i="2"/>
  <c r="J38" i="2"/>
  <c r="M38" i="2"/>
  <c r="O38" i="2" s="1"/>
  <c r="S38" i="2"/>
  <c r="U38" i="2" s="1"/>
  <c r="X38" i="2"/>
  <c r="Y38" i="2" s="1"/>
  <c r="AA38" i="2" s="1"/>
  <c r="D39" i="2"/>
  <c r="G39" i="2" s="1"/>
  <c r="E39" i="2"/>
  <c r="F39" i="2"/>
  <c r="H39" i="2"/>
  <c r="H40" i="2" s="1"/>
  <c r="J39" i="2"/>
  <c r="M39" i="2" s="1"/>
  <c r="K39" i="2"/>
  <c r="L39" i="2"/>
  <c r="N39" i="2"/>
  <c r="P39" i="2"/>
  <c r="S39" i="2" s="1"/>
  <c r="Q39" i="2"/>
  <c r="R39" i="2"/>
  <c r="T39" i="2"/>
  <c r="T40" i="2" s="1"/>
  <c r="V39" i="2"/>
  <c r="Y39" i="2" s="1"/>
  <c r="Y40" i="2" s="1"/>
  <c r="W39" i="2"/>
  <c r="X39" i="2"/>
  <c r="X40" i="2" s="1"/>
  <c r="Z39" i="2"/>
  <c r="E40" i="2"/>
  <c r="F40" i="2"/>
  <c r="J40" i="2"/>
  <c r="K40" i="2"/>
  <c r="N40" i="2"/>
  <c r="Q40" i="2"/>
  <c r="R40" i="2"/>
  <c r="V40" i="2"/>
  <c r="W40" i="2"/>
  <c r="Z40" i="2"/>
  <c r="G50" i="2"/>
  <c r="M50" i="2"/>
  <c r="S50" i="2"/>
  <c r="Y50" i="2"/>
  <c r="G51" i="2"/>
  <c r="M51" i="2"/>
  <c r="S51" i="2"/>
  <c r="Y51" i="2"/>
  <c r="G52" i="2"/>
  <c r="M52" i="2"/>
  <c r="S52" i="2"/>
  <c r="Y52" i="2"/>
  <c r="G53" i="2"/>
  <c r="M53" i="2"/>
  <c r="S53" i="2"/>
  <c r="Y53" i="2"/>
  <c r="G54" i="2"/>
  <c r="M54" i="2"/>
  <c r="S54" i="2"/>
  <c r="Y54" i="2"/>
  <c r="AA39" i="2" l="1"/>
  <c r="AB35" i="2"/>
  <c r="O24" i="2"/>
  <c r="O40" i="2" s="1"/>
  <c r="O41" i="2" s="1"/>
  <c r="G40" i="2"/>
  <c r="O39" i="2"/>
  <c r="S40" i="2"/>
  <c r="AB20" i="2"/>
  <c r="AB16" i="2"/>
  <c r="AA24" i="2"/>
  <c r="U24" i="2"/>
  <c r="U40" i="2" s="1"/>
  <c r="U41" i="2" s="1"/>
  <c r="AB32" i="2"/>
  <c r="AB38" i="2"/>
  <c r="U39" i="2"/>
  <c r="AB34" i="2"/>
  <c r="AB33" i="2"/>
  <c r="AB31" i="2"/>
  <c r="AB30" i="2"/>
  <c r="AB29" i="2"/>
  <c r="AB28" i="2"/>
  <c r="AB23" i="2"/>
  <c r="I24" i="2"/>
  <c r="I40" i="2" s="1"/>
  <c r="I41" i="2" s="1"/>
  <c r="P40" i="2"/>
  <c r="D40" i="2"/>
  <c r="L24" i="2"/>
  <c r="L40" i="2" l="1"/>
  <c r="M24" i="2"/>
  <c r="M40" i="2" s="1"/>
  <c r="AA40" i="2"/>
  <c r="AB24" i="2"/>
  <c r="AB39" i="2"/>
  <c r="AB40" i="2" l="1"/>
  <c r="AA41" i="2"/>
  <c r="AB41" i="2" s="1"/>
  <c r="J57" i="1" l="1"/>
  <c r="V54" i="1"/>
  <c r="S54" i="1"/>
  <c r="R54" i="1"/>
  <c r="Q54" i="1"/>
  <c r="P54" i="1"/>
  <c r="F54" i="1"/>
  <c r="E54" i="1"/>
  <c r="D54" i="1"/>
  <c r="V53" i="1"/>
  <c r="Y53" i="1" s="1"/>
  <c r="S53" i="1"/>
  <c r="R53" i="1"/>
  <c r="Q53" i="1"/>
  <c r="P53" i="1"/>
  <c r="F53" i="1"/>
  <c r="E53" i="1"/>
  <c r="D53" i="1"/>
  <c r="S52" i="1"/>
  <c r="R52" i="1"/>
  <c r="Q52" i="1"/>
  <c r="Q50" i="1" s="1"/>
  <c r="P52" i="1"/>
  <c r="M52" i="1"/>
  <c r="V52" i="1" s="1"/>
  <c r="F52" i="1"/>
  <c r="E52" i="1"/>
  <c r="D52" i="1"/>
  <c r="V51" i="1"/>
  <c r="Y51" i="1" s="1"/>
  <c r="S51" i="1"/>
  <c r="R51" i="1"/>
  <c r="Q51" i="1"/>
  <c r="P51" i="1"/>
  <c r="P50" i="1" s="1"/>
  <c r="F51" i="1"/>
  <c r="F50" i="1" s="1"/>
  <c r="E51" i="1"/>
  <c r="D51" i="1"/>
  <c r="D50" i="1" s="1"/>
  <c r="X50" i="1"/>
  <c r="V50" i="1"/>
  <c r="L50" i="1"/>
  <c r="K50" i="1"/>
  <c r="J50" i="1"/>
  <c r="T38" i="1"/>
  <c r="R38" i="1"/>
  <c r="Q38" i="1"/>
  <c r="P38" i="1"/>
  <c r="N38" i="1"/>
  <c r="Z38" i="1" s="1"/>
  <c r="L38" i="1"/>
  <c r="X38" i="1" s="1"/>
  <c r="K38" i="1"/>
  <c r="W38" i="1" s="1"/>
  <c r="Y38" i="1" s="1"/>
  <c r="J38" i="1"/>
  <c r="V38" i="1" s="1"/>
  <c r="H38" i="1"/>
  <c r="F38" i="1"/>
  <c r="G38" i="1" s="1"/>
  <c r="I38" i="1" s="1"/>
  <c r="E38" i="1"/>
  <c r="D38" i="1"/>
  <c r="X37" i="1"/>
  <c r="T37" i="1"/>
  <c r="R37" i="1"/>
  <c r="Q37" i="1"/>
  <c r="P37" i="1"/>
  <c r="N37" i="1"/>
  <c r="Z37" i="1" s="1"/>
  <c r="L37" i="1"/>
  <c r="K37" i="1"/>
  <c r="W37" i="1" s="1"/>
  <c r="J37" i="1"/>
  <c r="M37" i="1" s="1"/>
  <c r="H37" i="1"/>
  <c r="F37" i="1"/>
  <c r="E37" i="1"/>
  <c r="D37" i="1"/>
  <c r="G37" i="1" s="1"/>
  <c r="T36" i="1"/>
  <c r="R36" i="1"/>
  <c r="Q36" i="1"/>
  <c r="P36" i="1"/>
  <c r="N36" i="1"/>
  <c r="Z36" i="1" s="1"/>
  <c r="L36" i="1"/>
  <c r="X36" i="1" s="1"/>
  <c r="K36" i="1"/>
  <c r="W36" i="1" s="1"/>
  <c r="J36" i="1"/>
  <c r="V36" i="1" s="1"/>
  <c r="H36" i="1"/>
  <c r="F36" i="1"/>
  <c r="E36" i="1"/>
  <c r="D36" i="1"/>
  <c r="T35" i="1"/>
  <c r="R35" i="1"/>
  <c r="Q35" i="1"/>
  <c r="P35" i="1"/>
  <c r="N35" i="1"/>
  <c r="Z35" i="1" s="1"/>
  <c r="L35" i="1"/>
  <c r="K35" i="1"/>
  <c r="J35" i="1"/>
  <c r="H35" i="1"/>
  <c r="F35" i="1"/>
  <c r="E35" i="1"/>
  <c r="D35" i="1"/>
  <c r="T34" i="1"/>
  <c r="R34" i="1"/>
  <c r="Q34" i="1"/>
  <c r="P34" i="1"/>
  <c r="N34" i="1"/>
  <c r="Z34" i="1" s="1"/>
  <c r="M34" i="1"/>
  <c r="L34" i="1"/>
  <c r="X34" i="1" s="1"/>
  <c r="K34" i="1"/>
  <c r="W34" i="1" s="1"/>
  <c r="J34" i="1"/>
  <c r="V34" i="1" s="1"/>
  <c r="H34" i="1"/>
  <c r="F34" i="1"/>
  <c r="E34" i="1"/>
  <c r="D34" i="1"/>
  <c r="X33" i="1"/>
  <c r="T33" i="1"/>
  <c r="R33" i="1"/>
  <c r="Q33" i="1"/>
  <c r="P33" i="1"/>
  <c r="N33" i="1"/>
  <c r="Z33" i="1" s="1"/>
  <c r="L33" i="1"/>
  <c r="K33" i="1"/>
  <c r="W33" i="1" s="1"/>
  <c r="J33" i="1"/>
  <c r="H33" i="1"/>
  <c r="F33" i="1"/>
  <c r="E33" i="1"/>
  <c r="D33" i="1"/>
  <c r="T32" i="1"/>
  <c r="R32" i="1"/>
  <c r="Q32" i="1"/>
  <c r="S32" i="1" s="1"/>
  <c r="U32" i="1" s="1"/>
  <c r="P32" i="1"/>
  <c r="N32" i="1"/>
  <c r="Z32" i="1" s="1"/>
  <c r="L32" i="1"/>
  <c r="X32" i="1" s="1"/>
  <c r="K32" i="1"/>
  <c r="W32" i="1" s="1"/>
  <c r="J32" i="1"/>
  <c r="V32" i="1" s="1"/>
  <c r="H32" i="1"/>
  <c r="F32" i="1"/>
  <c r="E32" i="1"/>
  <c r="D32" i="1"/>
  <c r="Z31" i="1"/>
  <c r="T31" i="1"/>
  <c r="R31" i="1"/>
  <c r="Q31" i="1"/>
  <c r="P31" i="1"/>
  <c r="N31" i="1"/>
  <c r="L31" i="1"/>
  <c r="X31" i="1" s="1"/>
  <c r="K31" i="1"/>
  <c r="W31" i="1" s="1"/>
  <c r="J31" i="1"/>
  <c r="V31" i="1" s="1"/>
  <c r="H31" i="1"/>
  <c r="F31" i="1"/>
  <c r="E31" i="1"/>
  <c r="D31" i="1"/>
  <c r="T30" i="1"/>
  <c r="R30" i="1"/>
  <c r="Q30" i="1"/>
  <c r="P30" i="1"/>
  <c r="N30" i="1"/>
  <c r="Z30" i="1" s="1"/>
  <c r="L30" i="1"/>
  <c r="X30" i="1" s="1"/>
  <c r="K30" i="1"/>
  <c r="W30" i="1" s="1"/>
  <c r="J30" i="1"/>
  <c r="V30" i="1" s="1"/>
  <c r="H30" i="1"/>
  <c r="F30" i="1"/>
  <c r="E30" i="1"/>
  <c r="D30" i="1"/>
  <c r="T29" i="1"/>
  <c r="R29" i="1"/>
  <c r="Q29" i="1"/>
  <c r="P29" i="1"/>
  <c r="N29" i="1"/>
  <c r="Z29" i="1" s="1"/>
  <c r="L29" i="1"/>
  <c r="X29" i="1" s="1"/>
  <c r="K29" i="1"/>
  <c r="W29" i="1" s="1"/>
  <c r="J29" i="1"/>
  <c r="H29" i="1"/>
  <c r="F29" i="1"/>
  <c r="E29" i="1"/>
  <c r="D29" i="1"/>
  <c r="T28" i="1"/>
  <c r="R28" i="1"/>
  <c r="Q28" i="1"/>
  <c r="P28" i="1"/>
  <c r="N28" i="1"/>
  <c r="L28" i="1"/>
  <c r="X28" i="1" s="1"/>
  <c r="K28" i="1"/>
  <c r="W28" i="1" s="1"/>
  <c r="J28" i="1"/>
  <c r="V28" i="1" s="1"/>
  <c r="H28" i="1"/>
  <c r="F28" i="1"/>
  <c r="E28" i="1"/>
  <c r="D28" i="1"/>
  <c r="W23" i="1"/>
  <c r="T23" i="1"/>
  <c r="R23" i="1"/>
  <c r="Q23" i="1"/>
  <c r="P23" i="1"/>
  <c r="S23" i="1" s="1"/>
  <c r="N23" i="1"/>
  <c r="Z23" i="1" s="1"/>
  <c r="L23" i="1"/>
  <c r="X23" i="1" s="1"/>
  <c r="K23" i="1"/>
  <c r="J23" i="1"/>
  <c r="V23" i="1" s="1"/>
  <c r="Y23" i="1" s="1"/>
  <c r="H23" i="1"/>
  <c r="F23" i="1"/>
  <c r="E23" i="1"/>
  <c r="D23" i="1"/>
  <c r="G23" i="1" s="1"/>
  <c r="Z22" i="1"/>
  <c r="T22" i="1"/>
  <c r="R22" i="1"/>
  <c r="Q22" i="1"/>
  <c r="P22" i="1"/>
  <c r="N22" i="1"/>
  <c r="M22" i="1"/>
  <c r="O22" i="1" s="1"/>
  <c r="L22" i="1"/>
  <c r="X22" i="1" s="1"/>
  <c r="K22" i="1"/>
  <c r="W22" i="1" s="1"/>
  <c r="J22" i="1"/>
  <c r="V22" i="1" s="1"/>
  <c r="H22" i="1"/>
  <c r="F22" i="1"/>
  <c r="E22" i="1"/>
  <c r="D22" i="1"/>
  <c r="Z21" i="1"/>
  <c r="T21" i="1"/>
  <c r="R21" i="1"/>
  <c r="Q21" i="1"/>
  <c r="P21" i="1"/>
  <c r="N21" i="1"/>
  <c r="L21" i="1"/>
  <c r="X21" i="1" s="1"/>
  <c r="K21" i="1"/>
  <c r="W21" i="1" s="1"/>
  <c r="J21" i="1"/>
  <c r="V21" i="1" s="1"/>
  <c r="H21" i="1"/>
  <c r="F21" i="1"/>
  <c r="E21" i="1"/>
  <c r="D21" i="1"/>
  <c r="Z20" i="1"/>
  <c r="T20" i="1"/>
  <c r="R20" i="1"/>
  <c r="Q20" i="1"/>
  <c r="P20" i="1"/>
  <c r="S20" i="1" s="1"/>
  <c r="N20" i="1"/>
  <c r="L20" i="1"/>
  <c r="X20" i="1" s="1"/>
  <c r="K20" i="1"/>
  <c r="W20" i="1" s="1"/>
  <c r="J20" i="1"/>
  <c r="V20" i="1" s="1"/>
  <c r="H20" i="1"/>
  <c r="F20" i="1"/>
  <c r="E20" i="1"/>
  <c r="D20" i="1"/>
  <c r="G20" i="1" s="1"/>
  <c r="T19" i="1"/>
  <c r="R19" i="1"/>
  <c r="Q19" i="1"/>
  <c r="P19" i="1"/>
  <c r="N19" i="1"/>
  <c r="Z19" i="1" s="1"/>
  <c r="L19" i="1"/>
  <c r="X19" i="1" s="1"/>
  <c r="K19" i="1"/>
  <c r="W19" i="1" s="1"/>
  <c r="J19" i="1"/>
  <c r="V19" i="1" s="1"/>
  <c r="H19" i="1"/>
  <c r="F19" i="1"/>
  <c r="E19" i="1"/>
  <c r="D19" i="1"/>
  <c r="T18" i="1"/>
  <c r="R18" i="1"/>
  <c r="Q18" i="1"/>
  <c r="P18" i="1"/>
  <c r="N18" i="1"/>
  <c r="Z18" i="1" s="1"/>
  <c r="L18" i="1"/>
  <c r="X18" i="1" s="1"/>
  <c r="K18" i="1"/>
  <c r="W18" i="1" s="1"/>
  <c r="J18" i="1"/>
  <c r="H18" i="1"/>
  <c r="F18" i="1"/>
  <c r="E18" i="1"/>
  <c r="D18" i="1"/>
  <c r="T17" i="1"/>
  <c r="R17" i="1"/>
  <c r="Q17" i="1"/>
  <c r="P17" i="1"/>
  <c r="S17" i="1" s="1"/>
  <c r="N17" i="1"/>
  <c r="Z17" i="1" s="1"/>
  <c r="L17" i="1"/>
  <c r="X17" i="1" s="1"/>
  <c r="K17" i="1"/>
  <c r="W17" i="1" s="1"/>
  <c r="J17" i="1"/>
  <c r="V17" i="1" s="1"/>
  <c r="Y17" i="1" s="1"/>
  <c r="H17" i="1"/>
  <c r="F17" i="1"/>
  <c r="E17" i="1"/>
  <c r="D17" i="1"/>
  <c r="G17" i="1" s="1"/>
  <c r="T16" i="1"/>
  <c r="R16" i="1"/>
  <c r="Q16" i="1"/>
  <c r="P16" i="1"/>
  <c r="N16" i="1"/>
  <c r="Z16" i="1" s="1"/>
  <c r="L16" i="1"/>
  <c r="X16" i="1" s="1"/>
  <c r="K16" i="1"/>
  <c r="W16" i="1" s="1"/>
  <c r="J16" i="1"/>
  <c r="V16" i="1" s="1"/>
  <c r="H16" i="1"/>
  <c r="F16" i="1"/>
  <c r="E16" i="1"/>
  <c r="D16" i="1"/>
  <c r="T15" i="1"/>
  <c r="R15" i="1"/>
  <c r="Q15" i="1"/>
  <c r="P15" i="1"/>
  <c r="N15" i="1"/>
  <c r="Z15" i="1" s="1"/>
  <c r="Z24" i="1" s="1"/>
  <c r="L15" i="1"/>
  <c r="K15" i="1"/>
  <c r="J15" i="1"/>
  <c r="H15" i="1"/>
  <c r="F15" i="1"/>
  <c r="E15" i="1"/>
  <c r="D15" i="1"/>
  <c r="H39" i="1" l="1"/>
  <c r="I20" i="1"/>
  <c r="U20" i="1"/>
  <c r="S37" i="1"/>
  <c r="U37" i="1" s="1"/>
  <c r="H24" i="1"/>
  <c r="H40" i="1" s="1"/>
  <c r="G16" i="1"/>
  <c r="I16" i="1" s="1"/>
  <c r="G31" i="1"/>
  <c r="I31" i="1" s="1"/>
  <c r="S31" i="1"/>
  <c r="U31" i="1" s="1"/>
  <c r="G36" i="1"/>
  <c r="I36" i="1" s="1"/>
  <c r="S38" i="1"/>
  <c r="U38" i="1" s="1"/>
  <c r="F24" i="1"/>
  <c r="R24" i="1"/>
  <c r="S21" i="1"/>
  <c r="U21" i="1" s="1"/>
  <c r="S30" i="1"/>
  <c r="U30" i="1" s="1"/>
  <c r="O34" i="1"/>
  <c r="AA38" i="1"/>
  <c r="AB38" i="1" s="1"/>
  <c r="Y22" i="1"/>
  <c r="AA22" i="1" s="1"/>
  <c r="AB22" i="1" s="1"/>
  <c r="Y19" i="1"/>
  <c r="AA19" i="1" s="1"/>
  <c r="I23" i="1"/>
  <c r="U23" i="1"/>
  <c r="T39" i="1"/>
  <c r="M30" i="1"/>
  <c r="O30" i="1" s="1"/>
  <c r="M32" i="1"/>
  <c r="O32" i="1" s="1"/>
  <c r="S36" i="1"/>
  <c r="U36" i="1" s="1"/>
  <c r="D24" i="1"/>
  <c r="Y16" i="1"/>
  <c r="AA16" i="1" s="1"/>
  <c r="S16" i="1"/>
  <c r="U16" i="1" s="1"/>
  <c r="G19" i="1"/>
  <c r="I19" i="1" s="1"/>
  <c r="S22" i="1"/>
  <c r="U22" i="1" s="1"/>
  <c r="M23" i="1"/>
  <c r="O23" i="1" s="1"/>
  <c r="Y28" i="1"/>
  <c r="G34" i="1"/>
  <c r="I34" i="1" s="1"/>
  <c r="Y34" i="1"/>
  <c r="AA34" i="1" s="1"/>
  <c r="G35" i="1"/>
  <c r="I35" i="1" s="1"/>
  <c r="M35" i="1"/>
  <c r="O35" i="1" s="1"/>
  <c r="M36" i="1"/>
  <c r="O36" i="1" s="1"/>
  <c r="M19" i="1"/>
  <c r="O19" i="1" s="1"/>
  <c r="F39" i="1"/>
  <c r="F40" i="1" s="1"/>
  <c r="L39" i="1"/>
  <c r="R39" i="1"/>
  <c r="R40" i="1" s="1"/>
  <c r="N24" i="1"/>
  <c r="AA17" i="1"/>
  <c r="M21" i="1"/>
  <c r="O21" i="1" s="1"/>
  <c r="AA23" i="1"/>
  <c r="N39" i="1"/>
  <c r="K24" i="1"/>
  <c r="M16" i="1"/>
  <c r="O16" i="1" s="1"/>
  <c r="S19" i="1"/>
  <c r="U19" i="1" s="1"/>
  <c r="G21" i="1"/>
  <c r="I21" i="1" s="1"/>
  <c r="G28" i="1"/>
  <c r="I28" i="1" s="1"/>
  <c r="S28" i="1"/>
  <c r="U28" i="1" s="1"/>
  <c r="G30" i="1"/>
  <c r="I30" i="1" s="1"/>
  <c r="G32" i="1"/>
  <c r="I32" i="1" s="1"/>
  <c r="S34" i="1"/>
  <c r="U34" i="1" s="1"/>
  <c r="Y36" i="1"/>
  <c r="AA36" i="1" s="1"/>
  <c r="E50" i="1"/>
  <c r="R50" i="1"/>
  <c r="L24" i="1"/>
  <c r="L40" i="1" s="1"/>
  <c r="I17" i="1"/>
  <c r="U17" i="1"/>
  <c r="T24" i="1"/>
  <c r="T40" i="1" s="1"/>
  <c r="M18" i="1"/>
  <c r="O18" i="1" s="1"/>
  <c r="V18" i="1"/>
  <c r="Y18" i="1" s="1"/>
  <c r="AA18" i="1" s="1"/>
  <c r="M29" i="1"/>
  <c r="O29" i="1" s="1"/>
  <c r="V29" i="1"/>
  <c r="Y29" i="1" s="1"/>
  <c r="AA29" i="1" s="1"/>
  <c r="M15" i="1"/>
  <c r="O15" i="1" s="1"/>
  <c r="J24" i="1"/>
  <c r="P24" i="1"/>
  <c r="V15" i="1"/>
  <c r="Y21" i="1"/>
  <c r="AA21" i="1" s="1"/>
  <c r="AB21" i="1" s="1"/>
  <c r="Y30" i="1"/>
  <c r="AA30" i="1" s="1"/>
  <c r="AB30" i="1" s="1"/>
  <c r="Y32" i="1"/>
  <c r="AA32" i="1" s="1"/>
  <c r="S35" i="1"/>
  <c r="U35" i="1" s="1"/>
  <c r="P39" i="1"/>
  <c r="G50" i="1"/>
  <c r="V35" i="1"/>
  <c r="G15" i="1"/>
  <c r="I15" i="1" s="1"/>
  <c r="S15" i="1"/>
  <c r="U15" i="1" s="1"/>
  <c r="W15" i="1"/>
  <c r="W24" i="1" s="1"/>
  <c r="M17" i="1"/>
  <c r="O17" i="1" s="1"/>
  <c r="AB17" i="1" s="1"/>
  <c r="S18" i="1"/>
  <c r="U18" i="1" s="1"/>
  <c r="Y20" i="1"/>
  <c r="AA20" i="1" s="1"/>
  <c r="M28" i="1"/>
  <c r="O28" i="1" s="1"/>
  <c r="Z28" i="1"/>
  <c r="Z39" i="1" s="1"/>
  <c r="Z40" i="1" s="1"/>
  <c r="S29" i="1"/>
  <c r="U29" i="1" s="1"/>
  <c r="Y31" i="1"/>
  <c r="AA31" i="1" s="1"/>
  <c r="E39" i="1"/>
  <c r="K39" i="1"/>
  <c r="K40" i="1" s="1"/>
  <c r="Q39" i="1"/>
  <c r="X35" i="1"/>
  <c r="X39" i="1" s="1"/>
  <c r="I37" i="1"/>
  <c r="I39" i="1" s="1"/>
  <c r="O37" i="1"/>
  <c r="V37" i="1"/>
  <c r="Y37" i="1" s="1"/>
  <c r="AA37" i="1" s="1"/>
  <c r="J39" i="1"/>
  <c r="G22" i="1"/>
  <c r="I22" i="1" s="1"/>
  <c r="G33" i="1"/>
  <c r="I33" i="1" s="1"/>
  <c r="M38" i="1"/>
  <c r="O38" i="1" s="1"/>
  <c r="D39" i="1"/>
  <c r="S50" i="1"/>
  <c r="G51" i="1"/>
  <c r="G52" i="1"/>
  <c r="X15" i="1"/>
  <c r="X24" i="1" s="1"/>
  <c r="X40" i="1" s="1"/>
  <c r="E24" i="1"/>
  <c r="Q24" i="1"/>
  <c r="Q40" i="1" s="1"/>
  <c r="G18" i="1"/>
  <c r="I18" i="1" s="1"/>
  <c r="M20" i="1"/>
  <c r="O20" i="1" s="1"/>
  <c r="G29" i="1"/>
  <c r="I29" i="1" s="1"/>
  <c r="M31" i="1"/>
  <c r="O31" i="1" s="1"/>
  <c r="M33" i="1"/>
  <c r="O33" i="1" s="1"/>
  <c r="S33" i="1"/>
  <c r="U33" i="1" s="1"/>
  <c r="V33" i="1"/>
  <c r="Y33" i="1" s="1"/>
  <c r="AA33" i="1" s="1"/>
  <c r="AB33" i="1" s="1"/>
  <c r="M50" i="1"/>
  <c r="G53" i="1"/>
  <c r="G54" i="1"/>
  <c r="W35" i="1"/>
  <c r="W39" i="1" s="1"/>
  <c r="E40" i="1" l="1"/>
  <c r="O39" i="1"/>
  <c r="AB34" i="1"/>
  <c r="N40" i="1"/>
  <c r="U24" i="1"/>
  <c r="AB23" i="1"/>
  <c r="AB16" i="1"/>
  <c r="AB19" i="1"/>
  <c r="G39" i="1"/>
  <c r="S39" i="1"/>
  <c r="AB36" i="1"/>
  <c r="O24" i="1"/>
  <c r="O40" i="1" s="1"/>
  <c r="O41" i="1" s="1"/>
  <c r="M39" i="1"/>
  <c r="W40" i="1"/>
  <c r="Y35" i="1"/>
  <c r="AA35" i="1" s="1"/>
  <c r="V39" i="1"/>
  <c r="Y39" i="1" s="1"/>
  <c r="U39" i="1"/>
  <c r="U40" i="1" s="1"/>
  <c r="U41" i="1" s="1"/>
  <c r="Y15" i="1"/>
  <c r="AA15" i="1" s="1"/>
  <c r="V24" i="1"/>
  <c r="G24" i="1"/>
  <c r="AB18" i="1"/>
  <c r="W52" i="1"/>
  <c r="AB37" i="1"/>
  <c r="AB31" i="1"/>
  <c r="AB20" i="1"/>
  <c r="AB32" i="1"/>
  <c r="W54" i="1"/>
  <c r="Y54" i="1" s="1"/>
  <c r="P40" i="1"/>
  <c r="S24" i="1"/>
  <c r="D40" i="1"/>
  <c r="AA28" i="1"/>
  <c r="AB28" i="1" s="1"/>
  <c r="I24" i="1"/>
  <c r="I40" i="1" s="1"/>
  <c r="I41" i="1" s="1"/>
  <c r="M24" i="1"/>
  <c r="J40" i="1"/>
  <c r="AB29" i="1"/>
  <c r="S40" i="1" l="1"/>
  <c r="G40" i="1"/>
  <c r="Y24" i="1"/>
  <c r="Y40" i="1" s="1"/>
  <c r="V40" i="1"/>
  <c r="AA39" i="1"/>
  <c r="AB39" i="1" s="1"/>
  <c r="AB35" i="1"/>
  <c r="M40" i="1"/>
  <c r="W50" i="1"/>
  <c r="Y50" i="1" s="1"/>
  <c r="Y52" i="1"/>
  <c r="AB15" i="1"/>
  <c r="AA24" i="1"/>
  <c r="AB24" i="1" l="1"/>
  <c r="AA40" i="1"/>
  <c r="AA41" i="1" s="1"/>
  <c r="AB41" i="1" s="1"/>
</calcChain>
</file>

<file path=xl/comments1.xml><?xml version="1.0" encoding="utf-8"?>
<comments xmlns="http://schemas.openxmlformats.org/spreadsheetml/2006/main">
  <authors>
    <author>vbuchtova</author>
  </authors>
  <commentList>
    <comment ref="X16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do 2023 zakonponovat navýšení o UZ 705 z 2022</t>
        </r>
      </text>
    </comment>
    <comment ref="X17" authorId="0" shapeId="0">
      <text>
        <r>
          <rPr>
            <sz val="9"/>
            <color indexed="81"/>
            <rFont val="Tahoma"/>
            <family val="2"/>
            <charset val="238"/>
          </rPr>
          <t xml:space="preserve">UZ na 2023 podle MMCH
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po navýšení 5% pro PP i Nepp - SR + DohodySR+ 500 tis .NIV + NPO 14 - 4766,7 tis.
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včetně úroků z poolu</t>
        </r>
      </text>
    </comment>
    <comment ref="X29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plus 1/2 z UZ akce školy a prvence 19 tis a 38 tis
.,  A dílny z UZ 702 5.tis
</t>
        </r>
      </text>
    </comment>
    <comment ref="Y29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140 učebnice
+ NPO 14 - materiál 15 tis
</t>
        </r>
      </text>
    </comment>
    <comment ref="X31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plus 1/2 UZ prevence a akce školy 46,2
( -3,8 nrdohledáno - prostě aby sedělo)
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95tis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31323,6+350 NP
NP 14 - PP 2913,4
</t>
        </r>
      </text>
    </comment>
    <comment ref="Y34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120 ze SR + dohody NPOP 14 - administr 333,6
</t>
        </r>
      </text>
    </comment>
    <comment ref="X35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z dohod + UZ 701+702 
</t>
        </r>
      </text>
    </comment>
    <comment ref="Y35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10618,7
NPO 14 - 984,7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srážková z účasti v pooll</t>
        </r>
      </text>
    </comment>
    <comment ref="X3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plus 5,9 z UZ 701+702
</t>
        </r>
      </text>
    </comment>
    <comment ref="Y3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- fksp 626,5 +365
bez transferů .- nevím co bude
+ NPO 14 - 58,3
+ NPO 14 pomůcky 183,7
+ 143,</t>
        </r>
      </text>
    </comment>
  </commentList>
</comments>
</file>

<file path=xl/sharedStrings.xml><?xml version="1.0" encoding="utf-8"?>
<sst xmlns="http://schemas.openxmlformats.org/spreadsheetml/2006/main" count="3685" uniqueCount="278">
  <si>
    <t>Návrh rozpočtu 2023</t>
  </si>
  <si>
    <t>Název organizace:</t>
  </si>
  <si>
    <t>Technické služby města Chomutova, příspěvková organizace</t>
  </si>
  <si>
    <t>IČO:</t>
  </si>
  <si>
    <t>Sídlo:</t>
  </si>
  <si>
    <t>náměstí 1. máje 89, 430 01 Chomutov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</si>
  <si>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</si>
  <si>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</si>
  <si>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</si>
  <si>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</si>
  <si>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</si>
  <si>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</si>
  <si>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</si>
  <si>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</si>
  <si>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</si>
  <si>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</si>
  <si>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</si>
  <si>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</si>
  <si>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</si>
  <si>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</si>
  <si>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</si>
  <si>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</si>
  <si>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</si>
  <si>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</si>
  <si>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</si>
  <si>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</si>
  <si>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</si>
  <si>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</si>
  <si>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</si>
  <si>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</si>
  <si>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</si>
  <si>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</si>
  <si>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</si>
  <si>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</si>
  <si>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</si>
  <si>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</si>
  <si>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</si>
  <si>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</si>
  <si>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</si>
  <si>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</si>
  <si>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</si>
  <si>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</si>
  <si>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</si>
  <si>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</si>
  <si>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</si>
  <si>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</si>
  <si>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</si>
  <si>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</si>
  <si>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</si>
  <si>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</si>
  <si>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</si>
  <si>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</si>
  <si>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</si>
  <si>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</si>
  <si>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</si>
  <si>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</si>
  <si>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</si>
  <si>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</si>
  <si>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</si>
  <si>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</si>
  <si>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</si>
  <si>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</si>
  <si>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</si>
  <si>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</si>
  <si>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</si>
  <si>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</si>
  <si>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</si>
  <si>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</si>
  <si>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</si>
  <si>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</si>
  <si>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</si>
  <si>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</si>
  <si>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</si>
  <si>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</si>
  <si>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</si>
  <si>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</si>
  <si>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</si>
  <si>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</si>
  <si>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</si>
  <si>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</si>
  <si>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</si>
  <si>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</si>
  <si>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</si>
  <si>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</si>
  <si>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</si>
  <si>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</si>
  <si>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</si>
  <si>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</si>
  <si>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</si>
  <si>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</si>
  <si>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</si>
  <si>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Zůstatek k 30.6.2022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</si>
  <si>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</si>
  <si>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</si>
  <si>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</si>
  <si>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</si>
  <si>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</si>
  <si>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</si>
  <si>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</si>
  <si>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</si>
  <si>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</si>
  <si>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</si>
  <si>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</si>
  <si>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</si>
  <si>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Navýšení plánu rozpočtu proti stavu poslední verze schváleného rozpočtu na rok 2022:</t>
  </si>
  <si>
    <t>1) navýšení nákladů na odstranění odpadu na základě výsledku výsledku výběrového řízení - nárůst o 3.500.000,- Kč/rok včetně navýšení pooplatku za uložení odpadu o 100,- Kč/t</t>
  </si>
  <si>
    <t>2) na základě pokynu Ing. Řehákové jsou do nákladů TSmCh zařazeny náklady na diagnostiku mostů, mostní listy a mostní prohlídky - 3.620.000,- Kč/rok</t>
  </si>
  <si>
    <t>3) zákonné navýšení tarifní složky platu o 10% s platností od 1.9.2022 promítnuté do plánu rozpúočtu na rok 2023 - 6.200.000,- Kč/rok</t>
  </si>
  <si>
    <t>4) navýšení nákladů na správu mostních objektů (mosty, lávky a podchody) v celkové roční hodnotě 1.730.000,- Kč/rok</t>
  </si>
  <si>
    <t>Dne:</t>
  </si>
  <si>
    <t xml:space="preserve">Sestavil: </t>
  </si>
  <si>
    <t>Ing. Petra Langhammerová</t>
  </si>
  <si>
    <t xml:space="preserve">Schválil: </t>
  </si>
  <si>
    <t>Ing. Zbyněk Koblížek</t>
  </si>
  <si>
    <t>Podpis:</t>
  </si>
  <si>
    <t>Mgr. Alena Tölgová, ředitelka</t>
  </si>
  <si>
    <t>Mgr. Ing. Ivana Vomáčková, finanční manažerka</t>
  </si>
  <si>
    <t>Toto je situace, kterou nejsme schopni ovlivnit a nezavinili jsme ji. Navrhujeme, aby prostředky byly převedeny do následujícího roku, neboť vybudování evakuačního výtahu je stále důležitá priorita v zajištění bezpečnosti klientů a zaměstnanců.</t>
  </si>
  <si>
    <t>Akce je sice objednávkou zajištěna, ale dodavatel projektové dokumentace nedodržuje termín, což znamená, že nebudeme schopni vypsat veřejnou zakázku tak, aby akce byla úspěšně vyúčtována k 31. 12. 2022, jak zní podmínka smlouvy o investičním příspěvku.</t>
  </si>
  <si>
    <t xml:space="preserve">Vzhledem k ekonomické situaci v roce 2022 nejsme schopni úspěšně zrealizovat vybudování evakuačního výtahu v budově DpS Písečná (problém nastal už v oblasti projektové dokumentace). Na tuto akci jsme v roce 2022 obdrželi investiční dotaci od zřizovatele. </t>
  </si>
  <si>
    <t>V roce 2023 očekáváme i nárůst úhrad za poskytovanou zdravotní péči o cca 2 mil. Kč.</t>
  </si>
  <si>
    <t>Od 1. 1. 2023 uvažujeme se zvýšením úhrad za poskytované sociální služby tak, abychom dosáhli na maximální možné částky, jež stanovuje vyhláška č. 505/2006 Sb., kterou se upravují některá ustanovení zákona o sociálních službách. Zvýšení úhrad znamená nárůst příjmů o cca 1 mil. Kč.</t>
  </si>
  <si>
    <t xml:space="preserve">Vlastní výnosy v roce 2023 očekáváme ve výši 70 160 tis. Kč. </t>
  </si>
  <si>
    <r>
      <t xml:space="preserve">V roce 2023 plánujeme </t>
    </r>
    <r>
      <rPr>
        <b/>
        <sz val="11"/>
        <color theme="1"/>
        <rFont val="Calibri"/>
        <family val="2"/>
        <charset val="238"/>
        <scheme val="minor"/>
      </rPr>
      <t xml:space="preserve">zvýšení počtu pracovníků o 3, </t>
    </r>
    <r>
      <rPr>
        <sz val="11"/>
        <color theme="1"/>
        <rFont val="Calibri"/>
        <family val="2"/>
        <charset val="238"/>
        <scheme val="minor"/>
      </rPr>
      <t>a to 1 pracovník úklidu (středisko COZP Písečná), 2 pracovníci v sociálních službách (středisko DpS Písečná), 1 masér (středisko DpS Písečná); současně snižujeme počet pomocných sil ve stravovacím provozu DpS Písečná o 1 pracovníka (v roce 2022 jsme zakoupili výkonný konvektomat, jenž nám dovolil uspořit jednu pomocnou sílu ve stravovacím provozu).</t>
    </r>
  </si>
  <si>
    <t>Mzdové náklady jsou plánovány ve výši 80 230 tis. Kč s přepočteným počtem pracovníků 201. Mzdové a související náklady zahrnují 10 % zvýšení základních platů pro zaměstnance zařazené v tabulce přílohy č. 1 nařízení vlády.</t>
  </si>
  <si>
    <t>Organizace v současné době sleduje vyhlášené dotační tituly a pružně reaguje na jednotlivé výzvy. V případě úspěšného získání dotačních titulů na plánované investiční akce bude toto řešeno rozpočtovou změnou ve prospěch zřizovatele.</t>
  </si>
  <si>
    <t>Budova AD Písečná: vybudování schodolezu s cílem zajistit bezbariérovost budovy pro veřejnost. Ředitelství sociálních služeb není přístupné osobám se sníženou pohyblivostí a v současné době jednání s nimi probíhá nedůstojně v prostorách chodby budovy.</t>
  </si>
  <si>
    <r>
      <rPr>
        <b/>
        <sz val="11"/>
        <color theme="1"/>
        <rFont val="Calibri"/>
        <family val="2"/>
        <charset val="238"/>
        <scheme val="minor"/>
      </rPr>
      <t>Čerpání investičního fondu ve výši 1 200 tis. Kč</t>
    </r>
    <r>
      <rPr>
        <sz val="11"/>
        <color theme="1"/>
        <rFont val="Calibri"/>
        <family val="2"/>
        <charset val="238"/>
        <scheme val="minor"/>
      </rPr>
      <t xml:space="preserve"> zahrnuje technické zhodnocení budov - COZP Písečná: 1. rekonstrukce vnitřních prostor (přepažení pokojů) s cílem zajistit větší soukromí klientů, což je i požadavek na moderní sociální služby; 2. automatická brána - vchod do areálu zahrady musí být zabezpečen proti vandalům a zajistit bezpečí klientů. </t>
    </r>
  </si>
  <si>
    <t>V rozpočtu nejsou zahrnuty náklady na případná epidemiologická nařízení ze strany vlády, která bychom řešili rozpočtovou změnou nebo dotačním titulem.</t>
  </si>
  <si>
    <t xml:space="preserve">Náklady na provoz organizace jsou navýšeny cca o 5 % oproti roku 2022. Vzhledem k vývoji cen je ale jejich skutečná výše velmi obtížně predikovatelná. Zaměřili jsme se tedy na ty nejdůležitější položky - nákup potravin, kancelářské a úklidové prostředky, likvidace odpadů, OOPP, energie, dopravu apod., které jsme částečně navýšili. </t>
  </si>
  <si>
    <t>Plánovaná výše příspěvku zřizovatele ve výši 28 580 tis. Kč za předpokladu přiznání dotace na sociální služby (tzv. velký a malý dotační program) ve výši 48 220 tis. Kč. Na provoz dětských skupin je plánovaná dotace ze zdrojů MPSV ve výši 3 100 tis. Kč.</t>
  </si>
  <si>
    <t>Rozpočet je sestaven jako vyrovnaný, přepodkládané náklady ve výši 150 229 tis. Kč.</t>
  </si>
  <si>
    <t xml:space="preserve"> </t>
  </si>
  <si>
    <t>Písečná 5030, 430 04 Chomutov</t>
  </si>
  <si>
    <t>Sociální služby Chomutov, příspěvková organizace</t>
  </si>
  <si>
    <t>Chomutovská knihovna, příspěvková organizace</t>
  </si>
  <si>
    <t>00360589</t>
  </si>
  <si>
    <t>Palackého 4995, 430 01 Chomutov</t>
  </si>
  <si>
    <t>Upravený rozpočet (plán NaV 2022)</t>
  </si>
  <si>
    <t>Plán 2023(návrh rozpočtu organizace)</t>
  </si>
  <si>
    <t>Porovnání s rokem 2021</t>
  </si>
  <si>
    <r>
      <rPr>
        <b/>
        <sz val="11"/>
        <color rgb="FF000000"/>
        <rFont val="Calibri"/>
        <family val="2"/>
        <charset val="238"/>
      </rP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</si>
  <si>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Zůstatek k 30.6.</t>
  </si>
  <si>
    <t>Ing. Martina Marešová</t>
  </si>
  <si>
    <t>Mgr. Bedřich Fryč</t>
  </si>
  <si>
    <t>Petr Markes, ředitel</t>
  </si>
  <si>
    <t>Ing. Veronika Purkrábek, ekonom</t>
  </si>
  <si>
    <t>Čerpání investičního fondu v roce 2023 na pořízení nového univerzálního kolového traktoru Valtra. Na podzim roku 2022 budou vypsány dotační tituly na pořízení lesnické techniky, organizací bude podána žádost o poskytnutí dotace.</t>
  </si>
  <si>
    <t>24.</t>
  </si>
  <si>
    <t>Tvorba a zúčtování rezerv</t>
  </si>
  <si>
    <t>22.</t>
  </si>
  <si>
    <t>Aktivace oběžného majetku</t>
  </si>
  <si>
    <t>Hora Svatého Šebestiána 90, 431 82</t>
  </si>
  <si>
    <t>Městské lesy Chomutov, příspěvková organizace</t>
  </si>
  <si>
    <t>Zoopark Chomutov, p.o.</t>
  </si>
  <si>
    <t>00379719</t>
  </si>
  <si>
    <t>Přemyslova 259, 430 01 Chomutov</t>
  </si>
  <si>
    <t>Rozpočet organizace na rok 2023 byl sestaven na základě skutečnosti roku 2021 a předpokládané skutečnosti roku 2022.</t>
  </si>
  <si>
    <t>NÁKLADY - celkové navýšení  o  10%</t>
  </si>
  <si>
    <t>Náklady , na které má vliv inflace roku 2022 ( materiál, služby, opravy, energie) byly navýšeny od 5-10%</t>
  </si>
  <si>
    <t>Mzdové náklady navýšeny o 10,53 % zákonné navýšení mezd od 9/2022 + plánované obsazení pracovních míst dle organizační struktury.</t>
  </si>
  <si>
    <t>Personální zajištění kvalifikavaných pracovníků na obsazení pracovních míst, potřebných k chodu organizace považujeme za jednu z priorit roku 2023.</t>
  </si>
  <si>
    <t xml:space="preserve">Ostatní náklady  - navýšení je způsobeno nesprávným rozpočtováním v roce 2022, ve srovnání s rokem 2021 je navýšení pouze o 10,72% </t>
  </si>
  <si>
    <t>Rozpis ostatních nákladů:</t>
  </si>
  <si>
    <t>1 800 tis. Kč tvoří zákonné náklady na tvorbu FKSP + příspěvek na stravování</t>
  </si>
  <si>
    <t>200 tis. poplatky za členství v zoologických organizacích</t>
  </si>
  <si>
    <t>350 tis. Kč pojištění majetku</t>
  </si>
  <si>
    <t>2 500 tis. Kč - prodané zboží v doplňkové činnosti</t>
  </si>
  <si>
    <t>1 780 tis. Kč - jiné ostatní náklady z činnosti</t>
  </si>
  <si>
    <t>VÝNOSY - plán navýšení o 10%</t>
  </si>
  <si>
    <t>Organizace plánuje navýšení vlastních výnosů o 11% , tedy o 2 680 tis. Kč</t>
  </si>
  <si>
    <t>Plán navýšení výnosů byl sestaven dle předpokládané skutečnosti roku 2022</t>
  </si>
  <si>
    <t>Požadavek na pokrytí nákladů organizace provozním příspěvkem organizace je 53 150 000,-Kč, což představuje částku o 13,01% vyšší než v roce 2022</t>
  </si>
  <si>
    <t>Ostatní dotace - 3 000 tis. Kč - dotace na krmivo a poplatky + dotace na pracovní místa</t>
  </si>
  <si>
    <t>ZÁVĚR</t>
  </si>
  <si>
    <t xml:space="preserve">Vzhledem k vývoji inflace, cen vstupů a zákonného navýšení mezd, považujeme o 9,71 % navýšení příspěvku na provoz za adekvátní. </t>
  </si>
  <si>
    <t>10% navýšení tvoří zákonné navýšení mezd a tedy i odvodů z mezd a ostatních osobních nákladů.</t>
  </si>
  <si>
    <t>Bc. Lenka Maříková</t>
  </si>
  <si>
    <t>Bc. Věra Fryčová</t>
  </si>
  <si>
    <t>Základní škola Chomutov, Zahradní 5265</t>
  </si>
  <si>
    <t>Zahradní 5265</t>
  </si>
  <si>
    <t>k 30.06.</t>
  </si>
  <si>
    <t>Věra Čmejrková</t>
  </si>
  <si>
    <t>Mgr.Libuše Slavíková</t>
  </si>
  <si>
    <t>Miloslav Hons</t>
  </si>
  <si>
    <t>Marcela Moravcová</t>
  </si>
  <si>
    <t>v rozpočtu na rok 2023 je zahrnut příspěvek opd zřizovatele ve výši 238,5 (platy)+46,1 (PREVENCE)+48 (projekty školy) = 6.437,7 tis Kč</t>
  </si>
  <si>
    <t>opravy, materiál a služby navýšeny o 10%</t>
  </si>
  <si>
    <t>návrh 2023-energie :2414,5+ navýšení o 497 tis = 2911,5 tis.Kč</t>
  </si>
  <si>
    <t>Rezervní fond tvořený z HV</t>
  </si>
  <si>
    <t>rezervní fond tvořený z nespotř.projektů</t>
  </si>
  <si>
    <t>Plán k 1.1.2023</t>
  </si>
  <si>
    <t>Stav k 1.1.2022</t>
  </si>
  <si>
    <t>Stav k 1.1.2021</t>
  </si>
  <si>
    <r>
      <t xml:space="preserve">NÁKLADY </t>
    </r>
    <r>
      <rPr>
        <sz val="12"/>
        <color theme="1"/>
        <rFont val="Calibri"/>
        <family val="2"/>
        <charset val="238"/>
        <scheme val="minor"/>
      </rPr>
      <t>(hrazené)</t>
    </r>
  </si>
  <si>
    <t>Čerpání k 30.6.2022</t>
  </si>
  <si>
    <t>Schválený rozpočet (plán NaV 2022) k 30.6.2022</t>
  </si>
  <si>
    <t>Na Příkopech 895, 430 01 Chomutov</t>
  </si>
  <si>
    <t>Základní škola Chomutov, Na Příkopech 895</t>
  </si>
  <si>
    <t>Základní škola Chomutov, Kadaňská 2334</t>
  </si>
  <si>
    <t>Kadaňská 2334, 430 03 Chomutov</t>
  </si>
  <si>
    <t>15. 8 2022</t>
  </si>
  <si>
    <t>Bc. Jana Janouškovcová Tesařová</t>
  </si>
  <si>
    <t>Mgr. Ilona Zahálková</t>
  </si>
  <si>
    <t>Návrh rozpočtu 2023 - úprava k 19.10.2022 o přidělené účelové příspěvky</t>
  </si>
  <si>
    <t>Základní škola Chomutov, Písečná 5144</t>
  </si>
  <si>
    <t>Písečná 5144, 430 04 Chomutov</t>
  </si>
  <si>
    <t>Schválený rozpočet (plán NaV 2022) - upravený k 30.6.2022</t>
  </si>
  <si>
    <t xml:space="preserve">Při sestavování nárhu rozpočtu na rok 2023 se škola striktně řídila pokyny od zřizovatele, tj. požadavek na rozpočet na rok 2023 byl zachován ve stejné výši jako v roce 2022, pouze byl v návrhu rozpočtu na rok 2023 k provoznímu příspěvku připočítán příděl na úhradu </t>
  </si>
  <si>
    <t>skokových cen energií, který byl v roce 2022 řešen přídělem pod UZ 705 ve výši 584,8 tis.Kč  a pro další roky by měl být součástí provozního rozpočtu.</t>
  </si>
  <si>
    <t>Jana Kebrlová</t>
  </si>
  <si>
    <t>Mgr.Miroslav Žalud</t>
  </si>
  <si>
    <t>Základní škola Chomutov, Hornická 4387</t>
  </si>
  <si>
    <t>Hornická 4387, Chomutov</t>
  </si>
  <si>
    <t xml:space="preserve">Výnosy :    zapojení rezervního fondu do vybavení kuchyně. </t>
  </si>
  <si>
    <t>Ing. Martina Črepová</t>
  </si>
  <si>
    <t>Mgr. Ivana Dudková</t>
  </si>
  <si>
    <t>Základní škola Chomutov, Školní 1480</t>
  </si>
  <si>
    <t>Školní 1480/61, Chomutov, 430 01</t>
  </si>
  <si>
    <t>Schválený rozpočet-upravený k 30.6.2022 (plán NaV 2022)</t>
  </si>
  <si>
    <t>Plán k 30.6.</t>
  </si>
  <si>
    <t xml:space="preserve">Edita Drexlerová </t>
  </si>
  <si>
    <t xml:space="preserve">Mgr. Vlasta Marková </t>
  </si>
  <si>
    <t>Základní škola Chomutov, Akademika Heyrovského 4539</t>
  </si>
  <si>
    <t>Chomutov, Akademika Heyrovského 4539</t>
  </si>
  <si>
    <t>Byly sníženy rozpočty v provozním příspěvku zřizovatele a účelový příspěvek  o úpravu energií a o snížení částek na akce /ÚZ/.</t>
  </si>
  <si>
    <t>Alena Bažantová</t>
  </si>
  <si>
    <t>Mgr. Miloš Zelenka</t>
  </si>
  <si>
    <t>Základní škola Chomutov, Březenecká 4679</t>
  </si>
  <si>
    <t>Březenecká 4679, Chomutov 43004</t>
  </si>
  <si>
    <t>Plán 2023 (návrh rozpočtu organizace) po jednání 14.10.2022</t>
  </si>
  <si>
    <r>
      <t xml:space="preserve">NÁKLADY </t>
    </r>
    <r>
      <rPr>
        <sz val="11"/>
        <rFont val="Calibri"/>
        <family val="2"/>
        <charset val="238"/>
        <scheme val="minor"/>
      </rPr>
      <t>(hrazené)</t>
    </r>
  </si>
  <si>
    <t>k 30.6.</t>
  </si>
  <si>
    <t xml:space="preserve">rozpočet na rok 2023 vychází z projednaného rozpočtu dne 14.10. </t>
  </si>
  <si>
    <t xml:space="preserve">ostatní transfery, hlavní činnost a doplňková činost počítá s hodnotami kvalifikovaného odhadu ze znáných skutečností k datu vyhotovení </t>
  </si>
  <si>
    <t>navýšení nákladových položek rozpočtu v roce 2023 jednotlivě  :</t>
  </si>
  <si>
    <t>551 - odpisy - navýšení oproti rozpočtu 2022 o pořízený konvektomat  9/2022 - navýšení o 130 tis.</t>
  </si>
  <si>
    <t>521 - mzdy dohody na správce hřiště - navýšení v oblasti mezd z dohod v částce 70,- tis. oproti rozpočtu 2022</t>
  </si>
  <si>
    <t>Po projednání rozpočtu dne 14.10.2022 bylo dojednáno</t>
  </si>
  <si>
    <t xml:space="preserve">502 - v provozním příspěvku je započítáno zvýšení na energie podle výše provozního rozpočtu z roku  2022  o částku 344,7 tis. z UZ 705 </t>
  </si>
  <si>
    <t>501 -  po projednání bylo schváleno navýšení o 100 tis. z důvodů zvýšených cen materiálu</t>
  </si>
  <si>
    <t xml:space="preserve">518 - po projednání navýšení o 100 tis. z důvodů zvýšení cen a  zvýšení náročnosti služeb : zejména na údržbu navýšeného počtu IT pomůcek  a dále služeb komunálního odpadu </t>
  </si>
  <si>
    <t>Rozdělení UZ 705 (na energie)z roku 2022 po jednání dne 14.10.2022 :</t>
  </si>
  <si>
    <t>celková částka  1 344 700,- Kč</t>
  </si>
  <si>
    <t xml:space="preserve">  - snížení o 800 000,-  nároku pro rok 2023 = zůstatek pro rok 2023 činí 544 700,- Kč</t>
  </si>
  <si>
    <t xml:space="preserve">                                             z toho :  </t>
  </si>
  <si>
    <t xml:space="preserve">                                           100 tis .  Posílení položky materiál </t>
  </si>
  <si>
    <t xml:space="preserve">                                           100 tis .  Posílení položky služby </t>
  </si>
  <si>
    <t xml:space="preserve">                                           344,7 tis .  Posílení položky energií </t>
  </si>
  <si>
    <t>Bc. Michaela Adamová</t>
  </si>
  <si>
    <t>Ing. Vladimíra Nováková</t>
  </si>
  <si>
    <t>Základní škola a Mateřská škola, Chomutov, 17. listopadu 4728, příspěvková organizace</t>
  </si>
  <si>
    <t>17. listopadu 4728, 430 04 Chomutov</t>
  </si>
  <si>
    <t>Stav k 30.06.</t>
  </si>
  <si>
    <t>Komentář k návrhu rozpočtu</t>
  </si>
  <si>
    <t>Jana Tučková</t>
  </si>
  <si>
    <t>Mgr. Hana Horská</t>
  </si>
  <si>
    <t>Základní škola speciální a Mateřská škola Chomutov, Palavhova 4881, příspěvková organizace</t>
  </si>
  <si>
    <t>Palachova 4881, 430 03 Chomutov 3</t>
  </si>
  <si>
    <t>Kubátová Ilona</t>
  </si>
  <si>
    <t>Mgr. Sejnová Jana - ředitelka školy</t>
  </si>
  <si>
    <t>Mateřská škola Chomutov, příspěvková organizace</t>
  </si>
  <si>
    <t>Jiráskova 4335, 430 03  Chomutov</t>
  </si>
  <si>
    <t>Na MŠ 17. listopadu se předpokládá otevření třídy (zvýšení kapacity) se kterým souvisí zprovoznění výtahu. Rekonstrukce již byla dvakrát odsunuta, z tohoto důvodu žádáme vyšší investiční dotaci od zřizovatele.</t>
  </si>
  <si>
    <t>Ing. Jitka Svobodová</t>
  </si>
  <si>
    <t>Bc. Eliška Smetanová</t>
  </si>
  <si>
    <t>Mgr. Karel Žižka</t>
  </si>
  <si>
    <t>Mzdová položka navýšena dle rozpočtu prostředků ze SR na rok 2022 s přihlédsnutím k plánovanému navýšení mezd NP a PP pr rok 2023</t>
  </si>
  <si>
    <t>Nákladové položky navýšeny u materiálu, služeb a spotřeby energií .</t>
  </si>
  <si>
    <t>navýšit úplatu za vzdělání.</t>
  </si>
  <si>
    <t xml:space="preserve">V případě nepříznivého dopadu inflace na náklady a při poklesu žáků bude organizace nucena od školního roku 2023/2024 ( výnosy 9-12/2023) </t>
  </si>
  <si>
    <t>Pro školní rok 2022/ 2023 neplánujeme navýšení úplaty za vzdělání.</t>
  </si>
  <si>
    <t xml:space="preserve">Výnosy z hlavní činnopsti rozpočtovány na současný stav žáků (úplata za vzdělání) při předpokladu neklesání počtu. </t>
  </si>
  <si>
    <t>Požadavek na příspěvek zřizovatele sestaven dle r. 2022 + navýšení na energie ( 1570+952)</t>
  </si>
  <si>
    <t>Náměstí T. G. Masaryka 1626, 43001 Chomutov</t>
  </si>
  <si>
    <t>Základní umělecká škola T. G. Masaryka Chomutov</t>
  </si>
  <si>
    <t>Středisko volného času Domeček Chomutov, příspěvková organizace</t>
  </si>
  <si>
    <t>Jiráskova 4140, 430 03  Chomutov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</si>
</sst>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_ ;[Red]\-#,##0.0\ "/>
    <numFmt numFmtId="166" formatCode="0.00\ %"/>
    <numFmt numFmtId="167" formatCode="d/m/yyyy"/>
    <numFmt numFmtId="168" formatCode="0.0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363636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color rgb="FF514A4A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rgb="FF363636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BF7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E2F0D9"/>
        <bgColor rgb="FFE7E6E6"/>
      </patternFill>
    </fill>
    <fill>
      <patternFill patternType="solid">
        <fgColor rgb="FFEDEDED"/>
        <bgColor rgb="FFF2F2F2"/>
      </patternFill>
    </fill>
    <fill>
      <patternFill patternType="solid">
        <fgColor rgb="FFDBDBDB"/>
        <bgColor rgb="FFD9D9D9"/>
      </patternFill>
    </fill>
    <fill>
      <patternFill patternType="solid">
        <fgColor rgb="FF92D050"/>
        <bgColor rgb="FF969696"/>
      </patternFill>
    </fill>
    <fill>
      <patternFill patternType="solid">
        <fgColor rgb="FFD9D9D9"/>
        <bgColor rgb="FFDBDBDB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DEEBF7"/>
      </patternFill>
    </fill>
    <fill>
      <patternFill patternType="solid">
        <fgColor rgb="FF44546A"/>
        <bgColor rgb="FF363636"/>
      </patternFill>
    </fill>
    <fill>
      <patternFill patternType="solid">
        <fgColor rgb="FFE7E6E6"/>
        <bgColor rgb="FFEDEDED"/>
      </patternFill>
    </fill>
    <fill>
      <patternFill patternType="solid">
        <fgColor rgb="FFF2F2F2"/>
        <bgColor rgb="FFEDEDED"/>
      </patternFill>
    </fill>
    <fill>
      <patternFill patternType="solid">
        <fgColor rgb="FFFFFFFF"/>
        <bgColor rgb="FFF2F2F2"/>
      </patternFill>
    </fill>
    <fill>
      <patternFill patternType="solid">
        <fgColor rgb="FF66FF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1001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5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6" fillId="2" borderId="0" xfId="0" applyFont="1" applyFill="1" applyProtection="1"/>
    <xf numFmtId="0" fontId="4" fillId="3" borderId="6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4" fontId="0" fillId="6" borderId="24" xfId="0" applyNumberFormat="1" applyFont="1" applyFill="1" applyBorder="1" applyAlignment="1" applyProtection="1">
      <alignment horizontal="right"/>
    </xf>
    <xf numFmtId="164" fontId="0" fillId="6" borderId="25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7" xfId="0" applyNumberFormat="1" applyFont="1" applyFill="1" applyBorder="1" applyAlignment="1" applyProtection="1">
      <alignment horizontal="right"/>
      <protection locked="0"/>
    </xf>
    <xf numFmtId="164" fontId="0" fillId="0" borderId="27" xfId="0" applyNumberFormat="1" applyFont="1" applyFill="1" applyBorder="1" applyAlignment="1" applyProtection="1">
      <alignment horizontal="right"/>
    </xf>
    <xf numFmtId="10" fontId="6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4" fontId="0" fillId="7" borderId="28" xfId="0" applyNumberFormat="1" applyFont="1" applyFill="1" applyBorder="1" applyAlignment="1" applyProtection="1">
      <alignment horizontal="right"/>
      <protection locked="0"/>
    </xf>
    <xf numFmtId="164" fontId="0" fillId="6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164" fontId="0" fillId="8" borderId="27" xfId="0" applyNumberFormat="1" applyFont="1" applyFill="1" applyBorder="1" applyAlignment="1" applyProtection="1">
      <alignment horizontal="right"/>
      <protection locked="0"/>
    </xf>
    <xf numFmtId="0" fontId="6" fillId="9" borderId="29" xfId="0" applyFont="1" applyFill="1" applyBorder="1" applyProtection="1"/>
    <xf numFmtId="164" fontId="3" fillId="9" borderId="28" xfId="0" applyNumberFormat="1" applyFont="1" applyFill="1" applyBorder="1" applyAlignment="1" applyProtection="1">
      <alignment horizontal="right"/>
      <protection locked="0"/>
    </xf>
    <xf numFmtId="164" fontId="3" fillId="6" borderId="30" xfId="0" applyNumberFormat="1" applyFont="1" applyFill="1" applyBorder="1" applyAlignment="1" applyProtection="1">
      <alignment horizontal="right"/>
    </xf>
    <xf numFmtId="164" fontId="0" fillId="8" borderId="32" xfId="0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left"/>
    </xf>
    <xf numFmtId="164" fontId="0" fillId="6" borderId="28" xfId="0" applyNumberFormat="1" applyFont="1" applyFill="1" applyBorder="1" applyAlignment="1" applyProtection="1">
      <alignment horizontal="right"/>
    </xf>
    <xf numFmtId="164" fontId="3" fillId="0" borderId="30" xfId="0" applyNumberFormat="1" applyFont="1" applyFill="1" applyBorder="1" applyAlignment="1" applyProtection="1">
      <alignment horizontal="right"/>
      <protection locked="0"/>
    </xf>
    <xf numFmtId="0" fontId="6" fillId="0" borderId="29" xfId="0" applyFont="1" applyBorder="1" applyProtection="1"/>
    <xf numFmtId="164" fontId="3" fillId="6" borderId="28" xfId="0" applyNumberFormat="1" applyFont="1" applyFill="1" applyBorder="1" applyAlignment="1" applyProtection="1">
      <alignment horizontal="right"/>
    </xf>
    <xf numFmtId="164" fontId="3" fillId="0" borderId="30" xfId="0" applyNumberFormat="1" applyFont="1" applyBorder="1" applyAlignment="1" applyProtection="1">
      <alignment horizontal="right"/>
      <protection locked="0"/>
    </xf>
    <xf numFmtId="164" fontId="0" fillId="0" borderId="27" xfId="0" applyNumberFormat="1" applyFont="1" applyBorder="1" applyAlignment="1" applyProtection="1">
      <alignment horizontal="right"/>
      <protection locked="0"/>
    </xf>
    <xf numFmtId="0" fontId="9" fillId="0" borderId="29" xfId="0" applyFont="1" applyBorder="1" applyProtection="1"/>
    <xf numFmtId="164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4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4" fontId="0" fillId="6" borderId="35" xfId="0" applyNumberFormat="1" applyFont="1" applyFill="1" applyBorder="1" applyAlignment="1" applyProtection="1">
      <alignment horizontal="right"/>
    </xf>
    <xf numFmtId="164" fontId="0" fillId="6" borderId="36" xfId="0" applyNumberFormat="1" applyFont="1" applyFill="1" applyBorder="1" applyAlignment="1" applyProtection="1">
      <alignment horizontal="right"/>
    </xf>
    <xf numFmtId="164" fontId="0" fillId="0" borderId="36" xfId="0" applyNumberFormat="1" applyFont="1" applyBorder="1" applyAlignment="1" applyProtection="1">
      <alignment horizontal="right"/>
      <protection locked="0"/>
    </xf>
    <xf numFmtId="164" fontId="0" fillId="0" borderId="37" xfId="0" applyNumberFormat="1" applyFont="1" applyFill="1" applyBorder="1" applyAlignment="1" applyProtection="1">
      <alignment horizontal="right"/>
      <protection locked="0"/>
    </xf>
    <xf numFmtId="164" fontId="0" fillId="0" borderId="38" xfId="0" applyNumberFormat="1" applyFont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</xf>
    <xf numFmtId="10" fontId="6" fillId="0" borderId="12" xfId="0" applyNumberFormat="1" applyFont="1" applyFill="1" applyBorder="1" applyProtection="1"/>
    <xf numFmtId="0" fontId="4" fillId="0" borderId="39" xfId="0" applyFont="1" applyFill="1" applyBorder="1" applyAlignment="1" applyProtection="1">
      <alignment horizontal="center"/>
    </xf>
    <xf numFmtId="0" fontId="4" fillId="4" borderId="40" xfId="0" applyFont="1" applyFill="1" applyBorder="1" applyProtection="1"/>
    <xf numFmtId="164" fontId="4" fillId="4" borderId="1" xfId="0" applyNumberFormat="1" applyFont="1" applyFill="1" applyBorder="1" applyAlignment="1" applyProtection="1">
      <alignment horizontal="right"/>
    </xf>
    <xf numFmtId="164" fontId="4" fillId="4" borderId="10" xfId="0" applyNumberFormat="1" applyFont="1" applyFill="1" applyBorder="1" applyAlignment="1" applyProtection="1">
      <alignment horizontal="right"/>
    </xf>
    <xf numFmtId="164" fontId="4" fillId="4" borderId="11" xfId="0" applyNumberFormat="1" applyFont="1" applyFill="1" applyBorder="1" applyAlignment="1" applyProtection="1">
      <alignment horizontal="right"/>
    </xf>
    <xf numFmtId="164" fontId="4" fillId="4" borderId="6" xfId="0" applyNumberFormat="1" applyFont="1" applyFill="1" applyBorder="1" applyAlignment="1" applyProtection="1">
      <alignment horizontal="right"/>
    </xf>
    <xf numFmtId="10" fontId="6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4" fillId="5" borderId="40" xfId="0" applyFont="1" applyFill="1" applyBorder="1" applyProtection="1"/>
    <xf numFmtId="0" fontId="13" fillId="0" borderId="19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43" xfId="0" applyFont="1" applyBorder="1" applyAlignment="1" applyProtection="1">
      <alignment horizontal="center"/>
    </xf>
    <xf numFmtId="0" fontId="0" fillId="0" borderId="23" xfId="0" applyBorder="1" applyProtection="1"/>
    <xf numFmtId="164" fontId="0" fillId="0" borderId="45" xfId="0" applyNumberFormat="1" applyFont="1" applyBorder="1" applyProtection="1">
      <protection locked="0"/>
    </xf>
    <xf numFmtId="164" fontId="0" fillId="0" borderId="46" xfId="0" applyNumberFormat="1" applyFont="1" applyBorder="1" applyProtection="1">
      <protection locked="0"/>
    </xf>
    <xf numFmtId="164" fontId="0" fillId="0" borderId="47" xfId="0" applyNumberFormat="1" applyFont="1" applyFill="1" applyBorder="1" applyAlignment="1" applyProtection="1">
      <alignment horizontal="right"/>
    </xf>
    <xf numFmtId="164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4" fontId="0" fillId="0" borderId="48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28" xfId="0" applyNumberFormat="1" applyFont="1" applyFill="1" applyBorder="1" applyProtection="1">
      <protection locked="0"/>
    </xf>
    <xf numFmtId="164" fontId="0" fillId="0" borderId="48" xfId="0" applyNumberFormat="1" applyFont="1" applyBorder="1" applyProtection="1">
      <protection locked="0"/>
    </xf>
    <xf numFmtId="164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6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4" fontId="0" fillId="0" borderId="51" xfId="0" applyNumberFormat="1" applyFont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164" fontId="0" fillId="0" borderId="35" xfId="0" applyNumberFormat="1" applyFont="1" applyBorder="1" applyProtection="1">
      <protection locked="0"/>
    </xf>
    <xf numFmtId="0" fontId="4" fillId="9" borderId="14" xfId="0" applyFont="1" applyFill="1" applyBorder="1" applyProtection="1"/>
    <xf numFmtId="164" fontId="4" fillId="9" borderId="19" xfId="0" applyNumberFormat="1" applyFont="1" applyFill="1" applyBorder="1" applyProtection="1"/>
    <xf numFmtId="164" fontId="0" fillId="9" borderId="46" xfId="0" applyNumberFormat="1" applyFont="1" applyFill="1" applyBorder="1" applyProtection="1">
      <protection locked="0"/>
    </xf>
    <xf numFmtId="164" fontId="4" fillId="9" borderId="16" xfId="0" applyNumberFormat="1" applyFont="1" applyFill="1" applyBorder="1" applyProtection="1"/>
    <xf numFmtId="164" fontId="4" fillId="9" borderId="39" xfId="0" applyNumberFormat="1" applyFont="1" applyFill="1" applyBorder="1" applyProtection="1"/>
    <xf numFmtId="10" fontId="6" fillId="9" borderId="39" xfId="0" applyNumberFormat="1" applyFont="1" applyFill="1" applyBorder="1" applyProtection="1"/>
    <xf numFmtId="0" fontId="7" fillId="0" borderId="53" xfId="0" applyFont="1" applyFill="1" applyBorder="1" applyAlignment="1" applyProtection="1">
      <alignment horizontal="center"/>
    </xf>
    <xf numFmtId="0" fontId="7" fillId="10" borderId="53" xfId="0" applyFont="1" applyFill="1" applyBorder="1" applyAlignment="1" applyProtection="1">
      <alignment horizontal="left"/>
    </xf>
    <xf numFmtId="165" fontId="7" fillId="10" borderId="53" xfId="0" applyNumberFormat="1" applyFont="1" applyFill="1" applyBorder="1" applyAlignment="1" applyProtection="1"/>
    <xf numFmtId="165" fontId="14" fillId="11" borderId="53" xfId="0" applyNumberFormat="1" applyFont="1" applyFill="1" applyBorder="1" applyAlignment="1" applyProtection="1"/>
    <xf numFmtId="165" fontId="14" fillId="11" borderId="6" xfId="0" applyNumberFormat="1" applyFont="1" applyFill="1" applyBorder="1" applyAlignment="1" applyProtection="1"/>
    <xf numFmtId="10" fontId="2" fillId="11" borderId="27" xfId="0" applyNumberFormat="1" applyFont="1" applyFill="1" applyBorder="1" applyProtection="1"/>
    <xf numFmtId="0" fontId="15" fillId="0" borderId="14" xfId="0" applyFont="1" applyFill="1" applyBorder="1" applyAlignment="1" applyProtection="1">
      <alignment horizontal="center"/>
    </xf>
    <xf numFmtId="0" fontId="15" fillId="0" borderId="14" xfId="0" applyFont="1" applyBorder="1" applyProtection="1"/>
    <xf numFmtId="164" fontId="16" fillId="5" borderId="19" xfId="0" applyNumberFormat="1" applyFont="1" applyFill="1" applyBorder="1" applyAlignment="1" applyProtection="1">
      <alignment horizontal="center"/>
    </xf>
    <xf numFmtId="164" fontId="16" fillId="5" borderId="4" xfId="0" applyNumberFormat="1" applyFont="1" applyFill="1" applyBorder="1" applyProtection="1"/>
    <xf numFmtId="0" fontId="15" fillId="5" borderId="4" xfId="0" applyFont="1" applyFill="1" applyBorder="1" applyProtection="1"/>
    <xf numFmtId="164" fontId="16" fillId="5" borderId="43" xfId="0" applyNumberFormat="1" applyFont="1" applyFill="1" applyBorder="1" applyProtection="1"/>
    <xf numFmtId="165" fontId="15" fillId="12" borderId="39" xfId="0" applyNumberFormat="1" applyFont="1" applyFill="1" applyBorder="1" applyProtection="1"/>
    <xf numFmtId="164" fontId="16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164" fontId="4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4" fillId="5" borderId="19" xfId="0" applyNumberFormat="1" applyFont="1" applyFill="1" applyBorder="1" applyProtection="1">
      <protection locked="0"/>
    </xf>
    <xf numFmtId="164" fontId="4" fillId="5" borderId="4" xfId="0" applyNumberFormat="1" applyFont="1" applyFill="1" applyBorder="1" applyProtection="1"/>
    <xf numFmtId="164" fontId="4" fillId="5" borderId="5" xfId="0" applyNumberFormat="1" applyFont="1" applyFill="1" applyBorder="1" applyProtection="1"/>
    <xf numFmtId="164" fontId="16" fillId="2" borderId="0" xfId="0" applyNumberFormat="1" applyFont="1" applyFill="1" applyBorder="1" applyAlignment="1" applyProtection="1">
      <alignment horizontal="right"/>
    </xf>
    <xf numFmtId="164" fontId="4" fillId="0" borderId="17" xfId="0" applyNumberFormat="1" applyFont="1" applyFill="1" applyBorder="1" applyProtection="1">
      <protection locked="0"/>
    </xf>
    <xf numFmtId="164" fontId="4" fillId="0" borderId="55" xfId="0" applyNumberFormat="1" applyFont="1" applyFill="1" applyBorder="1" applyProtection="1">
      <protection locked="0"/>
    </xf>
    <xf numFmtId="164" fontId="4" fillId="0" borderId="20" xfId="0" applyNumberFormat="1" applyFont="1" applyFill="1" applyBorder="1" applyProtection="1">
      <protection locked="0"/>
    </xf>
    <xf numFmtId="164" fontId="4" fillId="2" borderId="0" xfId="0" applyNumberFormat="1" applyFont="1" applyFill="1" applyBorder="1" applyProtection="1">
      <protection locked="0"/>
    </xf>
    <xf numFmtId="164" fontId="17" fillId="5" borderId="19" xfId="0" applyNumberFormat="1" applyFont="1" applyFill="1" applyBorder="1" applyAlignment="1" applyProtection="1">
      <alignment horizontal="center" wrapText="1"/>
      <protection locked="0"/>
    </xf>
    <xf numFmtId="164" fontId="17" fillId="5" borderId="5" xfId="0" applyNumberFormat="1" applyFont="1" applyFill="1" applyBorder="1" applyAlignment="1" applyProtection="1">
      <alignment horizont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164" fontId="4" fillId="0" borderId="44" xfId="0" applyNumberFormat="1" applyFont="1" applyFill="1" applyBorder="1" applyProtection="1"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4" fillId="13" borderId="30" xfId="0" applyFont="1" applyFill="1" applyBorder="1" applyProtection="1"/>
    <xf numFmtId="164" fontId="4" fillId="13" borderId="30" xfId="0" applyNumberFormat="1" applyFont="1" applyFill="1" applyBorder="1" applyAlignment="1" applyProtection="1">
      <alignment horizontal="center"/>
    </xf>
    <xf numFmtId="0" fontId="4" fillId="0" borderId="30" xfId="0" applyFont="1" applyFill="1" applyBorder="1" applyProtection="1"/>
    <xf numFmtId="164" fontId="4" fillId="0" borderId="30" xfId="0" applyNumberFormat="1" applyFont="1" applyFill="1" applyBorder="1" applyAlignment="1" applyProtection="1">
      <alignment horizontal="right"/>
      <protection locked="0"/>
    </xf>
    <xf numFmtId="164" fontId="4" fillId="0" borderId="30" xfId="0" applyNumberFormat="1" applyFont="1" applyFill="1" applyBorder="1" applyProtection="1"/>
    <xf numFmtId="164" fontId="4" fillId="0" borderId="30" xfId="0" applyNumberFormat="1" applyFont="1" applyBorder="1" applyAlignment="1" applyProtection="1">
      <alignment horizontal="right"/>
      <protection locked="0"/>
    </xf>
    <xf numFmtId="164" fontId="4" fillId="0" borderId="30" xfId="0" applyNumberFormat="1" applyFont="1" applyBorder="1"/>
    <xf numFmtId="0" fontId="10" fillId="0" borderId="30" xfId="0" applyFont="1" applyFill="1" applyBorder="1" applyProtection="1"/>
    <xf numFmtId="164" fontId="4" fillId="0" borderId="30" xfId="0" applyNumberFormat="1" applyFont="1" applyFill="1" applyBorder="1" applyProtection="1">
      <protection locked="0"/>
    </xf>
    <xf numFmtId="0" fontId="4" fillId="13" borderId="37" xfId="0" applyFont="1" applyFill="1" applyBorder="1" applyAlignment="1" applyProtection="1">
      <alignment horizontal="left"/>
    </xf>
    <xf numFmtId="0" fontId="4" fillId="13" borderId="56" xfId="0" applyFont="1" applyFill="1" applyBorder="1" applyAlignment="1" applyProtection="1">
      <alignment horizontal="left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9" fillId="0" borderId="13" xfId="1" applyFont="1" applyBorder="1" applyProtection="1"/>
    <xf numFmtId="0" fontId="19" fillId="0" borderId="0" xfId="0" applyFont="1" applyFill="1" applyBorder="1"/>
    <xf numFmtId="0" fontId="19" fillId="0" borderId="0" xfId="1" applyFont="1" applyBorder="1" applyProtection="1"/>
    <xf numFmtId="0" fontId="19" fillId="0" borderId="26" xfId="1" applyFont="1" applyBorder="1" applyProtection="1"/>
    <xf numFmtId="0" fontId="19" fillId="0" borderId="58" xfId="0" applyFont="1" applyFill="1" applyBorder="1"/>
    <xf numFmtId="0" fontId="19" fillId="0" borderId="58" xfId="1" applyFont="1" applyBorder="1" applyProtection="1"/>
    <xf numFmtId="0" fontId="4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9" fillId="2" borderId="0" xfId="1" applyFont="1" applyFill="1" applyBorder="1" applyProtection="1"/>
    <xf numFmtId="0" fontId="19" fillId="2" borderId="0" xfId="0" applyFont="1" applyFill="1" applyBorder="1"/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14" fontId="4" fillId="14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14" borderId="0" xfId="0" applyFont="1" applyFill="1" applyBorder="1" applyAlignment="1" applyProtection="1">
      <alignment horizontal="left"/>
    </xf>
    <xf numFmtId="10" fontId="0" fillId="0" borderId="0" xfId="0" applyNumberFormat="1" applyFont="1"/>
    <xf numFmtId="0" fontId="19" fillId="0" borderId="0" xfId="1" applyFont="1" applyFill="1" applyBorder="1" applyProtection="1"/>
    <xf numFmtId="0" fontId="19" fillId="0" borderId="13" xfId="1" applyFont="1" applyFill="1" applyBorder="1" applyProtection="1"/>
    <xf numFmtId="0" fontId="0" fillId="0" borderId="0" xfId="0" applyBorder="1"/>
    <xf numFmtId="0" fontId="0" fillId="0" borderId="13" xfId="0" applyFont="1" applyFill="1" applyBorder="1" applyAlignment="1" applyProtection="1">
      <alignment horizontal="left"/>
      <protection locked="0"/>
    </xf>
    <xf numFmtId="0" fontId="20" fillId="15" borderId="0" xfId="2" applyFill="1" applyProtection="1"/>
    <xf numFmtId="166" fontId="20" fillId="15" borderId="0" xfId="2" applyNumberFormat="1" applyFont="1" applyFill="1" applyProtection="1"/>
    <xf numFmtId="0" fontId="20" fillId="15" borderId="0" xfId="2" applyFill="1"/>
    <xf numFmtId="0" fontId="20" fillId="0" borderId="0" xfId="2"/>
    <xf numFmtId="0" fontId="21" fillId="15" borderId="0" xfId="2" applyFont="1" applyFill="1" applyProtection="1"/>
    <xf numFmtId="49" fontId="22" fillId="0" borderId="0" xfId="2" applyNumberFormat="1" applyFont="1" applyAlignment="1" applyProtection="1">
      <alignment horizontal="left"/>
      <protection locked="0"/>
    </xf>
    <xf numFmtId="0" fontId="23" fillId="15" borderId="0" xfId="2" applyFont="1" applyFill="1" applyProtection="1"/>
    <xf numFmtId="0" fontId="22" fillId="16" borderId="6" xfId="2" applyFont="1" applyFill="1" applyBorder="1" applyAlignment="1" applyProtection="1">
      <alignment horizontal="center" vertical="center" wrapText="1"/>
    </xf>
    <xf numFmtId="0" fontId="22" fillId="18" borderId="19" xfId="2" applyFont="1" applyFill="1" applyBorder="1" applyAlignment="1" applyProtection="1">
      <alignment horizontal="center" vertical="center" wrapText="1"/>
    </xf>
    <xf numFmtId="0" fontId="22" fillId="18" borderId="5" xfId="2" applyFont="1" applyFill="1" applyBorder="1" applyAlignment="1" applyProtection="1">
      <alignment horizontal="center" vertical="center"/>
    </xf>
    <xf numFmtId="0" fontId="25" fillId="0" borderId="19" xfId="2" applyFont="1" applyBorder="1" applyAlignment="1" applyProtection="1">
      <alignment horizontal="center"/>
    </xf>
    <xf numFmtId="0" fontId="25" fillId="0" borderId="4" xfId="2" applyFont="1" applyBorder="1" applyAlignment="1" applyProtection="1">
      <alignment horizontal="center"/>
    </xf>
    <xf numFmtId="0" fontId="20" fillId="0" borderId="22" xfId="2" applyFont="1" applyBorder="1" applyAlignment="1" applyProtection="1">
      <alignment horizontal="center"/>
    </xf>
    <xf numFmtId="0" fontId="20" fillId="0" borderId="23" xfId="2" applyFont="1" applyBorder="1" applyProtection="1"/>
    <xf numFmtId="164" fontId="20" fillId="6" borderId="24" xfId="2" applyNumberFormat="1" applyFont="1" applyFill="1" applyBorder="1" applyAlignment="1" applyProtection="1">
      <alignment horizontal="right"/>
    </xf>
    <xf numFmtId="164" fontId="20" fillId="6" borderId="25" xfId="2" applyNumberFormat="1" applyFont="1" applyFill="1" applyBorder="1" applyAlignment="1" applyProtection="1">
      <alignment horizontal="right"/>
    </xf>
    <xf numFmtId="164" fontId="20" fillId="0" borderId="25" xfId="2" applyNumberFormat="1" applyFont="1" applyFill="1" applyBorder="1" applyAlignment="1" applyProtection="1">
      <alignment horizontal="right"/>
      <protection locked="0"/>
    </xf>
    <xf numFmtId="164" fontId="20" fillId="0" borderId="26" xfId="2" applyNumberFormat="1" applyFont="1" applyFill="1" applyBorder="1" applyAlignment="1" applyProtection="1">
      <alignment horizontal="right"/>
      <protection locked="0"/>
    </xf>
    <xf numFmtId="164" fontId="20" fillId="0" borderId="27" xfId="2" applyNumberFormat="1" applyFont="1" applyFill="1" applyBorder="1" applyAlignment="1" applyProtection="1">
      <alignment horizontal="right"/>
      <protection locked="0"/>
    </xf>
    <xf numFmtId="164" fontId="20" fillId="0" borderId="27" xfId="2" applyNumberFormat="1" applyFont="1" applyFill="1" applyBorder="1" applyAlignment="1" applyProtection="1">
      <alignment horizontal="right"/>
    </xf>
    <xf numFmtId="164" fontId="20" fillId="19" borderId="24" xfId="2" applyNumberFormat="1" applyFont="1" applyFill="1" applyBorder="1" applyAlignment="1" applyProtection="1">
      <alignment horizontal="right"/>
    </xf>
    <xf numFmtId="164" fontId="20" fillId="19" borderId="25" xfId="2" applyNumberFormat="1" applyFont="1" applyFill="1" applyBorder="1" applyAlignment="1" applyProtection="1">
      <alignment horizontal="right"/>
    </xf>
    <xf numFmtId="164" fontId="20" fillId="0" borderId="25" xfId="2" applyNumberFormat="1" applyFont="1" applyBorder="1" applyAlignment="1" applyProtection="1">
      <alignment horizontal="right"/>
      <protection locked="0"/>
    </xf>
    <xf numFmtId="164" fontId="20" fillId="0" borderId="26" xfId="2" applyNumberFormat="1" applyFont="1" applyBorder="1" applyAlignment="1" applyProtection="1">
      <alignment horizontal="right"/>
      <protection locked="0"/>
    </xf>
    <xf numFmtId="164" fontId="20" fillId="0" borderId="27" xfId="2" applyNumberFormat="1" applyFont="1" applyBorder="1" applyAlignment="1" applyProtection="1">
      <alignment horizontal="right"/>
      <protection locked="0"/>
    </xf>
    <xf numFmtId="164" fontId="20" fillId="0" borderId="27" xfId="2" applyNumberFormat="1" applyFont="1" applyBorder="1" applyAlignment="1" applyProtection="1">
      <alignment horizontal="right"/>
    </xf>
    <xf numFmtId="166" fontId="23" fillId="0" borderId="27" xfId="2" applyNumberFormat="1" applyFont="1" applyBorder="1" applyProtection="1"/>
    <xf numFmtId="0" fontId="20" fillId="0" borderId="28" xfId="2" applyFont="1" applyBorder="1" applyAlignment="1" applyProtection="1">
      <alignment horizontal="center"/>
    </xf>
    <xf numFmtId="0" fontId="20" fillId="20" borderId="29" xfId="2" applyFont="1" applyFill="1" applyBorder="1" applyProtection="1"/>
    <xf numFmtId="164" fontId="20" fillId="7" borderId="28" xfId="2" applyNumberFormat="1" applyFont="1" applyFill="1" applyBorder="1" applyAlignment="1" applyProtection="1">
      <alignment horizontal="right"/>
      <protection locked="0"/>
    </xf>
    <xf numFmtId="164" fontId="20" fillId="6" borderId="30" xfId="2" applyNumberFormat="1" applyFont="1" applyFill="1" applyBorder="1" applyAlignment="1" applyProtection="1">
      <alignment horizontal="right"/>
    </xf>
    <xf numFmtId="164" fontId="20" fillId="0" borderId="31" xfId="2" applyNumberFormat="1" applyFont="1" applyFill="1" applyBorder="1" applyAlignment="1" applyProtection="1">
      <alignment horizontal="right"/>
      <protection locked="0"/>
    </xf>
    <xf numFmtId="164" fontId="20" fillId="8" borderId="27" xfId="2" applyNumberFormat="1" applyFont="1" applyFill="1" applyBorder="1" applyAlignment="1" applyProtection="1">
      <alignment horizontal="right"/>
      <protection locked="0"/>
    </xf>
    <xf numFmtId="164" fontId="20" fillId="20" borderId="28" xfId="2" applyNumberFormat="1" applyFont="1" applyFill="1" applyBorder="1" applyAlignment="1" applyProtection="1">
      <alignment horizontal="right"/>
      <protection locked="0"/>
    </xf>
    <xf numFmtId="164" fontId="20" fillId="19" borderId="30" xfId="2" applyNumberFormat="1" applyFont="1" applyFill="1" applyBorder="1" applyAlignment="1" applyProtection="1">
      <alignment horizontal="right"/>
    </xf>
    <xf numFmtId="164" fontId="20" fillId="0" borderId="31" xfId="2" applyNumberFormat="1" applyFont="1" applyBorder="1" applyAlignment="1" applyProtection="1">
      <alignment horizontal="right"/>
      <protection locked="0"/>
    </xf>
    <xf numFmtId="164" fontId="20" fillId="21" borderId="27" xfId="2" applyNumberFormat="1" applyFont="1" applyFill="1" applyBorder="1" applyAlignment="1" applyProtection="1">
      <alignment horizontal="right"/>
      <protection locked="0"/>
    </xf>
    <xf numFmtId="0" fontId="23" fillId="22" borderId="29" xfId="2" applyFont="1" applyFill="1" applyBorder="1" applyProtection="1"/>
    <xf numFmtId="164" fontId="3" fillId="9" borderId="28" xfId="2" applyNumberFormat="1" applyFont="1" applyFill="1" applyBorder="1" applyAlignment="1" applyProtection="1">
      <alignment horizontal="right"/>
      <protection locked="0"/>
    </xf>
    <xf numFmtId="164" fontId="3" fillId="6" borderId="30" xfId="2" applyNumberFormat="1" applyFont="1" applyFill="1" applyBorder="1" applyAlignment="1" applyProtection="1">
      <alignment horizontal="right"/>
    </xf>
    <xf numFmtId="164" fontId="20" fillId="8" borderId="32" xfId="2" applyNumberFormat="1" applyFont="1" applyFill="1" applyBorder="1" applyAlignment="1" applyProtection="1">
      <alignment horizontal="right"/>
      <protection locked="0"/>
    </xf>
    <xf numFmtId="164" fontId="26" fillId="22" borderId="28" xfId="2" applyNumberFormat="1" applyFont="1" applyFill="1" applyBorder="1" applyAlignment="1" applyProtection="1">
      <alignment horizontal="right"/>
      <protection locked="0"/>
    </xf>
    <xf numFmtId="164" fontId="26" fillId="19" borderId="30" xfId="2" applyNumberFormat="1" applyFont="1" applyFill="1" applyBorder="1" applyAlignment="1" applyProtection="1">
      <alignment horizontal="right"/>
    </xf>
    <xf numFmtId="164" fontId="20" fillId="21" borderId="32" xfId="2" applyNumberFormat="1" applyFont="1" applyFill="1" applyBorder="1" applyAlignment="1" applyProtection="1">
      <alignment horizontal="right"/>
      <protection locked="0"/>
    </xf>
    <xf numFmtId="0" fontId="23" fillId="0" borderId="29" xfId="2" applyFont="1" applyBorder="1" applyAlignment="1" applyProtection="1">
      <alignment horizontal="left"/>
    </xf>
    <xf numFmtId="164" fontId="20" fillId="6" borderId="28" xfId="2" applyNumberFormat="1" applyFont="1" applyFill="1" applyBorder="1" applyAlignment="1" applyProtection="1">
      <alignment horizontal="right"/>
    </xf>
    <xf numFmtId="164" fontId="3" fillId="0" borderId="30" xfId="2" applyNumberFormat="1" applyFont="1" applyFill="1" applyBorder="1" applyAlignment="1" applyProtection="1">
      <alignment horizontal="right"/>
      <protection locked="0"/>
    </xf>
    <xf numFmtId="164" fontId="20" fillId="19" borderId="28" xfId="2" applyNumberFormat="1" applyFont="1" applyFill="1" applyBorder="1" applyAlignment="1" applyProtection="1">
      <alignment horizontal="right"/>
    </xf>
    <xf numFmtId="164" fontId="26" fillId="0" borderId="30" xfId="2" applyNumberFormat="1" applyFont="1" applyBorder="1" applyAlignment="1" applyProtection="1">
      <alignment horizontal="right"/>
      <protection locked="0"/>
    </xf>
    <xf numFmtId="0" fontId="26" fillId="0" borderId="29" xfId="2" applyFont="1" applyBorder="1" applyProtection="1"/>
    <xf numFmtId="164" fontId="3" fillId="6" borderId="28" xfId="2" applyNumberFormat="1" applyFont="1" applyFill="1" applyBorder="1" applyAlignment="1" applyProtection="1">
      <alignment horizontal="right"/>
    </xf>
    <xf numFmtId="164" fontId="3" fillId="0" borderId="30" xfId="2" applyNumberFormat="1" applyFont="1" applyBorder="1" applyAlignment="1" applyProtection="1">
      <alignment horizontal="right"/>
      <protection locked="0"/>
    </xf>
    <xf numFmtId="164" fontId="26" fillId="19" borderId="28" xfId="2" applyNumberFormat="1" applyFont="1" applyFill="1" applyBorder="1" applyAlignment="1" applyProtection="1">
      <alignment horizontal="right"/>
    </xf>
    <xf numFmtId="0" fontId="20" fillId="0" borderId="29" xfId="2" applyFont="1" applyBorder="1" applyProtection="1"/>
    <xf numFmtId="164" fontId="20" fillId="0" borderId="30" xfId="2" applyNumberFormat="1" applyFont="1" applyBorder="1" applyAlignment="1" applyProtection="1">
      <alignment horizontal="right"/>
      <protection locked="0"/>
    </xf>
    <xf numFmtId="164" fontId="20" fillId="0" borderId="32" xfId="2" applyNumberFormat="1" applyFont="1" applyBorder="1" applyAlignment="1" applyProtection="1">
      <alignment horizontal="right"/>
      <protection locked="0"/>
    </xf>
    <xf numFmtId="0" fontId="20" fillId="0" borderId="33" xfId="2" applyFont="1" applyBorder="1" applyAlignment="1" applyProtection="1">
      <alignment horizontal="center"/>
    </xf>
    <xf numFmtId="0" fontId="20" fillId="0" borderId="34" xfId="2" applyFont="1" applyBorder="1" applyAlignment="1" applyProtection="1">
      <alignment horizontal="left" indent="7"/>
    </xf>
    <xf numFmtId="164" fontId="20" fillId="6" borderId="35" xfId="2" applyNumberFormat="1" applyFont="1" applyFill="1" applyBorder="1" applyAlignment="1" applyProtection="1">
      <alignment horizontal="right"/>
    </xf>
    <xf numFmtId="164" fontId="20" fillId="6" borderId="36" xfId="2" applyNumberFormat="1" applyFont="1" applyFill="1" applyBorder="1" applyAlignment="1" applyProtection="1">
      <alignment horizontal="right"/>
    </xf>
    <xf numFmtId="164" fontId="20" fillId="0" borderId="36" xfId="2" applyNumberFormat="1" applyFont="1" applyBorder="1" applyAlignment="1" applyProtection="1">
      <alignment horizontal="right"/>
      <protection locked="0"/>
    </xf>
    <xf numFmtId="164" fontId="20" fillId="0" borderId="37" xfId="2" applyNumberFormat="1" applyFont="1" applyFill="1" applyBorder="1" applyAlignment="1" applyProtection="1">
      <alignment horizontal="right"/>
      <protection locked="0"/>
    </xf>
    <xf numFmtId="164" fontId="20" fillId="0" borderId="38" xfId="2" applyNumberFormat="1" applyFont="1" applyBorder="1" applyAlignment="1" applyProtection="1">
      <alignment horizontal="right"/>
      <protection locked="0"/>
    </xf>
    <xf numFmtId="164" fontId="20" fillId="0" borderId="12" xfId="2" applyNumberFormat="1" applyFont="1" applyFill="1" applyBorder="1" applyAlignment="1" applyProtection="1">
      <alignment horizontal="right"/>
    </xf>
    <xf numFmtId="164" fontId="20" fillId="19" borderId="35" xfId="2" applyNumberFormat="1" applyFont="1" applyFill="1" applyBorder="1" applyAlignment="1" applyProtection="1">
      <alignment horizontal="right"/>
    </xf>
    <xf numFmtId="164" fontId="20" fillId="19" borderId="36" xfId="2" applyNumberFormat="1" applyFont="1" applyFill="1" applyBorder="1" applyAlignment="1" applyProtection="1">
      <alignment horizontal="right"/>
    </xf>
    <xf numFmtId="164" fontId="20" fillId="0" borderId="37" xfId="2" applyNumberFormat="1" applyFont="1" applyBorder="1" applyAlignment="1" applyProtection="1">
      <alignment horizontal="right"/>
      <protection locked="0"/>
    </xf>
    <xf numFmtId="164" fontId="20" fillId="0" borderId="12" xfId="2" applyNumberFormat="1" applyFont="1" applyBorder="1" applyAlignment="1" applyProtection="1">
      <alignment horizontal="right"/>
    </xf>
    <xf numFmtId="166" fontId="23" fillId="0" borderId="12" xfId="2" applyNumberFormat="1" applyFont="1" applyBorder="1" applyProtection="1"/>
    <xf numFmtId="0" fontId="22" fillId="0" borderId="39" xfId="2" applyFont="1" applyBorder="1" applyAlignment="1" applyProtection="1">
      <alignment horizontal="center"/>
    </xf>
    <xf numFmtId="0" fontId="22" fillId="17" borderId="40" xfId="2" applyFont="1" applyFill="1" applyBorder="1" applyProtection="1"/>
    <xf numFmtId="164" fontId="22" fillId="17" borderId="1" xfId="2" applyNumberFormat="1" applyFont="1" applyFill="1" applyBorder="1" applyAlignment="1" applyProtection="1">
      <alignment horizontal="right"/>
    </xf>
    <xf numFmtId="164" fontId="22" fillId="17" borderId="10" xfId="2" applyNumberFormat="1" applyFont="1" applyFill="1" applyBorder="1" applyAlignment="1" applyProtection="1">
      <alignment horizontal="right"/>
    </xf>
    <xf numFmtId="164" fontId="22" fillId="17" borderId="11" xfId="2" applyNumberFormat="1" applyFont="1" applyFill="1" applyBorder="1" applyAlignment="1" applyProtection="1">
      <alignment horizontal="right"/>
    </xf>
    <xf numFmtId="164" fontId="22" fillId="17" borderId="6" xfId="2" applyNumberFormat="1" applyFont="1" applyFill="1" applyBorder="1" applyAlignment="1" applyProtection="1">
      <alignment horizontal="right"/>
    </xf>
    <xf numFmtId="166" fontId="23" fillId="17" borderId="39" xfId="2" applyNumberFormat="1" applyFont="1" applyFill="1" applyBorder="1" applyProtection="1"/>
    <xf numFmtId="0" fontId="20" fillId="18" borderId="41" xfId="2" applyFill="1" applyBorder="1" applyAlignment="1" applyProtection="1">
      <alignment horizontal="center"/>
    </xf>
    <xf numFmtId="0" fontId="22" fillId="18" borderId="40" xfId="2" applyFont="1" applyFill="1" applyBorder="1" applyProtection="1"/>
    <xf numFmtId="0" fontId="30" fillId="0" borderId="19" xfId="2" applyFont="1" applyBorder="1" applyAlignment="1" applyProtection="1">
      <alignment horizontal="center"/>
    </xf>
    <xf numFmtId="0" fontId="30" fillId="0" borderId="4" xfId="2" applyFont="1" applyBorder="1" applyAlignment="1" applyProtection="1">
      <alignment horizontal="center"/>
    </xf>
    <xf numFmtId="0" fontId="30" fillId="0" borderId="43" xfId="2" applyFont="1" applyBorder="1" applyAlignment="1" applyProtection="1">
      <alignment horizontal="center"/>
    </xf>
    <xf numFmtId="164" fontId="20" fillId="0" borderId="22" xfId="2" applyNumberFormat="1" applyFont="1" applyBorder="1" applyProtection="1">
      <protection locked="0"/>
    </xf>
    <xf numFmtId="164" fontId="20" fillId="0" borderId="45" xfId="2" applyNumberFormat="1" applyFont="1" applyBorder="1" applyProtection="1">
      <protection locked="0"/>
    </xf>
    <xf numFmtId="164" fontId="20" fillId="0" borderId="46" xfId="2" applyNumberFormat="1" applyFont="1" applyBorder="1" applyProtection="1">
      <protection locked="0"/>
    </xf>
    <xf numFmtId="164" fontId="20" fillId="0" borderId="47" xfId="2" applyNumberFormat="1" applyFont="1" applyFill="1" applyBorder="1" applyAlignment="1" applyProtection="1">
      <alignment horizontal="right"/>
    </xf>
    <xf numFmtId="164" fontId="20" fillId="0" borderId="47" xfId="2" applyNumberFormat="1" applyFont="1" applyBorder="1" applyAlignment="1" applyProtection="1">
      <alignment horizontal="right"/>
    </xf>
    <xf numFmtId="164" fontId="20" fillId="0" borderId="28" xfId="2" applyNumberFormat="1" applyFont="1" applyFill="1" applyBorder="1" applyProtection="1">
      <protection locked="0"/>
    </xf>
    <xf numFmtId="164" fontId="20" fillId="0" borderId="48" xfId="2" applyNumberFormat="1" applyFont="1" applyFill="1" applyBorder="1" applyProtection="1">
      <protection locked="0"/>
    </xf>
    <xf numFmtId="164" fontId="20" fillId="0" borderId="49" xfId="2" applyNumberFormat="1" applyFont="1" applyBorder="1" applyProtection="1">
      <protection locked="0"/>
    </xf>
    <xf numFmtId="164" fontId="20" fillId="0" borderId="49" xfId="2" applyNumberFormat="1" applyFont="1" applyFill="1" applyBorder="1" applyProtection="1">
      <protection locked="0"/>
    </xf>
    <xf numFmtId="164" fontId="20" fillId="0" borderId="28" xfId="2" applyNumberFormat="1" applyFont="1" applyBorder="1" applyProtection="1">
      <protection locked="0"/>
    </xf>
    <xf numFmtId="164" fontId="20" fillId="0" borderId="48" xfId="2" applyNumberFormat="1" applyFont="1" applyBorder="1" applyProtection="1">
      <protection locked="0"/>
    </xf>
    <xf numFmtId="4" fontId="20" fillId="0" borderId="28" xfId="2" applyNumberFormat="1" applyFont="1" applyBorder="1" applyProtection="1">
      <protection locked="0"/>
    </xf>
    <xf numFmtId="0" fontId="23" fillId="0" borderId="29" xfId="2" applyFont="1" applyBorder="1" applyProtection="1"/>
    <xf numFmtId="0" fontId="23" fillId="0" borderId="29" xfId="2" applyFont="1" applyBorder="1" applyAlignment="1" applyProtection="1">
      <alignment horizontal="left" indent="7"/>
    </xf>
    <xf numFmtId="0" fontId="20" fillId="0" borderId="28" xfId="2" applyFont="1" applyBorder="1" applyProtection="1">
      <protection locked="0"/>
    </xf>
    <xf numFmtId="0" fontId="20" fillId="0" borderId="35" xfId="2" applyFont="1" applyBorder="1" applyAlignment="1" applyProtection="1">
      <alignment horizontal="center"/>
    </xf>
    <xf numFmtId="0" fontId="20" fillId="0" borderId="50" xfId="2" applyFont="1" applyBorder="1" applyProtection="1"/>
    <xf numFmtId="164" fontId="20" fillId="0" borderId="35" xfId="2" applyNumberFormat="1" applyFont="1" applyBorder="1" applyProtection="1">
      <protection locked="0"/>
    </xf>
    <xf numFmtId="164" fontId="20" fillId="0" borderId="51" xfId="2" applyNumberFormat="1" applyFont="1" applyBorder="1" applyProtection="1">
      <protection locked="0"/>
    </xf>
    <xf numFmtId="164" fontId="20" fillId="0" borderId="52" xfId="2" applyNumberFormat="1" applyFont="1" applyBorder="1" applyProtection="1">
      <protection locked="0"/>
    </xf>
    <xf numFmtId="0" fontId="22" fillId="22" borderId="14" xfId="2" applyFont="1" applyFill="1" applyBorder="1" applyProtection="1"/>
    <xf numFmtId="164" fontId="22" fillId="22" borderId="19" xfId="2" applyNumberFormat="1" applyFont="1" applyFill="1" applyBorder="1" applyProtection="1"/>
    <xf numFmtId="164" fontId="20" fillId="22" borderId="46" xfId="2" applyNumberFormat="1" applyFont="1" applyFill="1" applyBorder="1" applyProtection="1">
      <protection locked="0"/>
    </xf>
    <xf numFmtId="164" fontId="22" fillId="22" borderId="16" xfId="2" applyNumberFormat="1" applyFont="1" applyFill="1" applyBorder="1" applyProtection="1"/>
    <xf numFmtId="164" fontId="22" fillId="22" borderId="39" xfId="2" applyNumberFormat="1" applyFont="1" applyFill="1" applyBorder="1" applyProtection="1"/>
    <xf numFmtId="166" fontId="23" fillId="22" borderId="39" xfId="2" applyNumberFormat="1" applyFont="1" applyFill="1" applyBorder="1" applyProtection="1"/>
    <xf numFmtId="0" fontId="24" fillId="0" borderId="53" xfId="2" applyFont="1" applyBorder="1" applyAlignment="1" applyProtection="1">
      <alignment horizontal="center"/>
    </xf>
    <xf numFmtId="0" fontId="24" fillId="23" borderId="53" xfId="2" applyFont="1" applyFill="1" applyBorder="1" applyAlignment="1" applyProtection="1">
      <alignment horizontal="left"/>
    </xf>
    <xf numFmtId="165" fontId="24" fillId="23" borderId="53" xfId="2" applyNumberFormat="1" applyFont="1" applyFill="1" applyBorder="1" applyAlignment="1" applyProtection="1"/>
    <xf numFmtId="165" fontId="31" fillId="24" borderId="53" xfId="2" applyNumberFormat="1" applyFont="1" applyFill="1" applyBorder="1" applyAlignment="1" applyProtection="1"/>
    <xf numFmtId="165" fontId="31" fillId="24" borderId="6" xfId="2" applyNumberFormat="1" applyFont="1" applyFill="1" applyBorder="1" applyAlignment="1" applyProtection="1"/>
    <xf numFmtId="166" fontId="32" fillId="24" borderId="27" xfId="2" applyNumberFormat="1" applyFont="1" applyFill="1" applyBorder="1" applyProtection="1"/>
    <xf numFmtId="0" fontId="33" fillId="0" borderId="14" xfId="2" applyFont="1" applyBorder="1" applyAlignment="1" applyProtection="1">
      <alignment horizontal="center"/>
    </xf>
    <xf numFmtId="0" fontId="33" fillId="0" borderId="14" xfId="2" applyFont="1" applyBorder="1" applyProtection="1"/>
    <xf numFmtId="164" fontId="34" fillId="18" borderId="19" xfId="2" applyNumberFormat="1" applyFont="1" applyFill="1" applyBorder="1" applyAlignment="1" applyProtection="1">
      <alignment horizontal="center"/>
    </xf>
    <xf numFmtId="164" fontId="34" fillId="18" borderId="4" xfId="2" applyNumberFormat="1" applyFont="1" applyFill="1" applyBorder="1" applyProtection="1"/>
    <xf numFmtId="0" fontId="33" fillId="18" borderId="4" xfId="2" applyFont="1" applyFill="1" applyBorder="1" applyProtection="1"/>
    <xf numFmtId="164" fontId="34" fillId="18" borderId="43" xfId="2" applyNumberFormat="1" applyFont="1" applyFill="1" applyBorder="1" applyProtection="1"/>
    <xf numFmtId="165" fontId="33" fillId="25" borderId="39" xfId="2" applyNumberFormat="1" applyFont="1" applyFill="1" applyBorder="1" applyProtection="1"/>
    <xf numFmtId="164" fontId="34" fillId="18" borderId="5" xfId="2" applyNumberFormat="1" applyFont="1" applyFill="1" applyBorder="1" applyProtection="1"/>
    <xf numFmtId="0" fontId="20" fillId="15" borderId="0" xfId="2" applyFill="1" applyBorder="1" applyProtection="1"/>
    <xf numFmtId="0" fontId="20" fillId="15" borderId="0" xfId="2" applyFont="1" applyFill="1" applyBorder="1" applyAlignment="1" applyProtection="1">
      <alignment horizontal="center"/>
    </xf>
    <xf numFmtId="0" fontId="22" fillId="15" borderId="0" xfId="2" applyFont="1" applyFill="1" applyBorder="1" applyProtection="1"/>
    <xf numFmtId="164" fontId="22" fillId="15" borderId="0" xfId="2" applyNumberFormat="1" applyFont="1" applyFill="1" applyBorder="1" applyAlignment="1" applyProtection="1">
      <alignment horizontal="center"/>
    </xf>
    <xf numFmtId="164" fontId="22" fillId="15" borderId="0" xfId="2" applyNumberFormat="1" applyFont="1" applyFill="1" applyBorder="1" applyProtection="1"/>
    <xf numFmtId="0" fontId="20" fillId="15" borderId="0" xfId="2" applyFill="1" applyBorder="1"/>
    <xf numFmtId="0" fontId="20" fillId="0" borderId="0" xfId="2" applyBorder="1"/>
    <xf numFmtId="0" fontId="20" fillId="15" borderId="0" xfId="2" applyFill="1" applyBorder="1" applyAlignment="1" applyProtection="1">
      <alignment horizontal="center"/>
    </xf>
    <xf numFmtId="164" fontId="22" fillId="18" borderId="19" xfId="2" applyNumberFormat="1" applyFont="1" applyFill="1" applyBorder="1" applyProtection="1">
      <protection locked="0"/>
    </xf>
    <xf numFmtId="164" fontId="22" fillId="18" borderId="4" xfId="2" applyNumberFormat="1" applyFont="1" applyFill="1" applyBorder="1" applyProtection="1"/>
    <xf numFmtId="164" fontId="22" fillId="18" borderId="5" xfId="2" applyNumberFormat="1" applyFont="1" applyFill="1" applyBorder="1" applyProtection="1"/>
    <xf numFmtId="164" fontId="34" fillId="15" borderId="0" xfId="2" applyNumberFormat="1" applyFont="1" applyFill="1" applyBorder="1" applyAlignment="1" applyProtection="1">
      <alignment horizontal="right"/>
    </xf>
    <xf numFmtId="164" fontId="22" fillId="0" borderId="17" xfId="2" applyNumberFormat="1" applyFont="1" applyBorder="1" applyProtection="1">
      <protection locked="0"/>
    </xf>
    <xf numFmtId="164" fontId="22" fillId="0" borderId="55" xfId="2" applyNumberFormat="1" applyFont="1" applyBorder="1" applyProtection="1">
      <protection locked="0"/>
    </xf>
    <xf numFmtId="164" fontId="22" fillId="0" borderId="20" xfId="2" applyNumberFormat="1" applyFont="1" applyBorder="1" applyProtection="1">
      <protection locked="0"/>
    </xf>
    <xf numFmtId="164" fontId="22" fillId="15" borderId="0" xfId="2" applyNumberFormat="1" applyFont="1" applyFill="1" applyBorder="1" applyProtection="1">
      <protection locked="0"/>
    </xf>
    <xf numFmtId="164" fontId="35" fillId="18" borderId="19" xfId="2" applyNumberFormat="1" applyFont="1" applyFill="1" applyBorder="1" applyAlignment="1" applyProtection="1">
      <alignment horizontal="center" wrapText="1"/>
      <protection locked="0"/>
    </xf>
    <xf numFmtId="164" fontId="35" fillId="18" borderId="5" xfId="2" applyNumberFormat="1" applyFont="1" applyFill="1" applyBorder="1" applyAlignment="1" applyProtection="1">
      <alignment horizontal="center" wrapText="1"/>
    </xf>
    <xf numFmtId="164" fontId="35" fillId="15" borderId="0" xfId="2" applyNumberFormat="1" applyFont="1" applyFill="1" applyBorder="1" applyAlignment="1" applyProtection="1">
      <alignment horizontal="center" vertical="center" wrapText="1"/>
    </xf>
    <xf numFmtId="0" fontId="22" fillId="15" borderId="0" xfId="2" applyFont="1" applyFill="1" applyBorder="1" applyAlignment="1" applyProtection="1">
      <alignment horizontal="center"/>
    </xf>
    <xf numFmtId="164" fontId="22" fillId="0" borderId="44" xfId="2" applyNumberFormat="1" applyFont="1" applyBorder="1" applyProtection="1">
      <protection locked="0"/>
    </xf>
    <xf numFmtId="164" fontId="22" fillId="15" borderId="0" xfId="2" applyNumberFormat="1" applyFont="1" applyFill="1" applyBorder="1" applyAlignment="1" applyProtection="1">
      <alignment horizontal="right"/>
      <protection locked="0"/>
    </xf>
    <xf numFmtId="0" fontId="22" fillId="26" borderId="30" xfId="2" applyFont="1" applyFill="1" applyBorder="1" applyProtection="1"/>
    <xf numFmtId="164" fontId="22" fillId="26" borderId="30" xfId="2" applyNumberFormat="1" applyFont="1" applyFill="1" applyBorder="1" applyAlignment="1" applyProtection="1">
      <alignment horizontal="center"/>
    </xf>
    <xf numFmtId="164" fontId="4" fillId="13" borderId="30" xfId="2" applyNumberFormat="1" applyFont="1" applyFill="1" applyBorder="1" applyAlignment="1" applyProtection="1">
      <alignment horizontal="center"/>
    </xf>
    <xf numFmtId="0" fontId="22" fillId="0" borderId="30" xfId="2" applyFont="1" applyBorder="1" applyProtection="1"/>
    <xf numFmtId="164" fontId="4" fillId="0" borderId="30" xfId="2" applyNumberFormat="1" applyFont="1" applyFill="1" applyBorder="1" applyAlignment="1" applyProtection="1">
      <alignment horizontal="right"/>
      <protection locked="0"/>
    </xf>
    <xf numFmtId="164" fontId="10" fillId="0" borderId="30" xfId="2" applyNumberFormat="1" applyFont="1" applyFill="1" applyBorder="1" applyProtection="1"/>
    <xf numFmtId="164" fontId="22" fillId="0" borderId="30" xfId="2" applyNumberFormat="1" applyFont="1" applyBorder="1" applyAlignment="1" applyProtection="1">
      <alignment horizontal="right"/>
      <protection locked="0"/>
    </xf>
    <xf numFmtId="164" fontId="22" fillId="0" borderId="30" xfId="2" applyNumberFormat="1" applyFont="1" applyBorder="1" applyProtection="1"/>
    <xf numFmtId="164" fontId="4" fillId="0" borderId="30" xfId="2" applyNumberFormat="1" applyFont="1" applyFill="1" applyBorder="1" applyProtection="1"/>
    <xf numFmtId="0" fontId="27" fillId="0" borderId="30" xfId="2" applyFont="1" applyBorder="1" applyProtection="1"/>
    <xf numFmtId="164" fontId="22" fillId="0" borderId="30" xfId="2" applyNumberFormat="1" applyFont="1" applyBorder="1" applyProtection="1">
      <protection locked="0"/>
    </xf>
    <xf numFmtId="0" fontId="22" fillId="26" borderId="37" xfId="2" applyFont="1" applyFill="1" applyBorder="1" applyAlignment="1" applyProtection="1">
      <alignment horizontal="left"/>
    </xf>
    <xf numFmtId="0" fontId="22" fillId="26" borderId="56" xfId="2" applyFont="1" applyFill="1" applyBorder="1" applyAlignment="1" applyProtection="1">
      <alignment horizontal="left"/>
    </xf>
    <xf numFmtId="0" fontId="20" fillId="0" borderId="56" xfId="2" applyBorder="1"/>
    <xf numFmtId="0" fontId="20" fillId="0" borderId="51" xfId="2" applyBorder="1"/>
    <xf numFmtId="0" fontId="20" fillId="0" borderId="13" xfId="2" applyBorder="1"/>
    <xf numFmtId="0" fontId="20" fillId="0" borderId="57" xfId="2" applyBorder="1"/>
    <xf numFmtId="0" fontId="22" fillId="0" borderId="13" xfId="2" applyFont="1" applyBorder="1" applyAlignment="1" applyProtection="1">
      <alignment horizontal="left"/>
      <protection locked="0"/>
    </xf>
    <xf numFmtId="0" fontId="22" fillId="0" borderId="0" xfId="2" applyFont="1" applyBorder="1" applyAlignment="1" applyProtection="1">
      <alignment horizontal="left"/>
      <protection locked="0"/>
    </xf>
    <xf numFmtId="0" fontId="36" fillId="0" borderId="13" xfId="1" applyFont="1" applyBorder="1" applyProtection="1"/>
    <xf numFmtId="0" fontId="36" fillId="0" borderId="0" xfId="1" applyFont="1" applyBorder="1" applyProtection="1"/>
    <xf numFmtId="0" fontId="36" fillId="0" borderId="0" xfId="2" applyFont="1" applyBorder="1"/>
    <xf numFmtId="0" fontId="36" fillId="0" borderId="26" xfId="1" applyFont="1" applyBorder="1" applyProtection="1"/>
    <xf numFmtId="0" fontId="36" fillId="0" borderId="58" xfId="2" applyFont="1" applyBorder="1"/>
    <xf numFmtId="0" fontId="36" fillId="0" borderId="58" xfId="1" applyFont="1" applyBorder="1" applyProtection="1"/>
    <xf numFmtId="0" fontId="22" fillId="0" borderId="58" xfId="2" applyFont="1" applyBorder="1" applyAlignment="1" applyProtection="1">
      <alignment horizontal="left"/>
      <protection locked="0"/>
    </xf>
    <xf numFmtId="0" fontId="20" fillId="0" borderId="58" xfId="2" applyBorder="1"/>
    <xf numFmtId="0" fontId="20" fillId="0" borderId="59" xfId="2" applyBorder="1"/>
    <xf numFmtId="0" fontId="36" fillId="15" borderId="0" xfId="1" applyFont="1" applyFill="1" applyBorder="1" applyProtection="1"/>
    <xf numFmtId="0" fontId="36" fillId="15" borderId="0" xfId="2" applyFont="1" applyFill="1" applyBorder="1"/>
    <xf numFmtId="0" fontId="22" fillId="15" borderId="0" xfId="2" applyFont="1" applyFill="1" applyBorder="1" applyAlignment="1" applyProtection="1">
      <alignment horizontal="left"/>
      <protection locked="0"/>
    </xf>
    <xf numFmtId="0" fontId="22" fillId="15" borderId="0" xfId="2" applyFont="1" applyFill="1" applyBorder="1" applyAlignment="1" applyProtection="1">
      <alignment horizontal="left"/>
    </xf>
    <xf numFmtId="167" fontId="22" fillId="27" borderId="0" xfId="2" applyNumberFormat="1" applyFont="1" applyFill="1" applyBorder="1" applyAlignment="1" applyProtection="1">
      <alignment horizontal="left"/>
      <protection locked="0"/>
    </xf>
    <xf numFmtId="0" fontId="22" fillId="0" borderId="0" xfId="2" applyFont="1" applyBorder="1" applyAlignment="1" applyProtection="1">
      <alignment horizontal="left"/>
    </xf>
    <xf numFmtId="0" fontId="22" fillId="27" borderId="0" xfId="2" applyFont="1" applyFill="1" applyBorder="1" applyAlignment="1" applyProtection="1">
      <alignment horizontal="left"/>
    </xf>
    <xf numFmtId="166" fontId="20" fillId="0" borderId="0" xfId="2" applyNumberFormat="1" applyFont="1"/>
    <xf numFmtId="10" fontId="0" fillId="0" borderId="0" xfId="0" applyNumberFormat="1"/>
    <xf numFmtId="0" fontId="4" fillId="2" borderId="0" xfId="0" applyFont="1" applyFill="1" applyAlignment="1">
      <alignment horizontal="left"/>
    </xf>
    <xf numFmtId="0" fontId="4" fillId="1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4" fontId="4" fillId="14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9" fillId="2" borderId="0" xfId="1" applyFont="1" applyFill="1"/>
    <xf numFmtId="0" fontId="19" fillId="2" borderId="0" xfId="0" applyFont="1" applyFill="1"/>
    <xf numFmtId="0" fontId="0" fillId="0" borderId="59" xfId="0" applyBorder="1"/>
    <xf numFmtId="0" fontId="0" fillId="0" borderId="58" xfId="0" applyBorder="1"/>
    <xf numFmtId="0" fontId="4" fillId="0" borderId="58" xfId="0" applyFont="1" applyBorder="1" applyAlignment="1" applyProtection="1">
      <alignment horizontal="left"/>
      <protection locked="0"/>
    </xf>
    <xf numFmtId="0" fontId="19" fillId="0" borderId="58" xfId="1" applyFont="1" applyBorder="1"/>
    <xf numFmtId="0" fontId="19" fillId="0" borderId="58" xfId="0" applyFont="1" applyBorder="1"/>
    <xf numFmtId="0" fontId="19" fillId="0" borderId="26" xfId="1" applyFont="1" applyBorder="1"/>
    <xf numFmtId="0" fontId="0" fillId="0" borderId="57" xfId="0" applyBorder="1"/>
    <xf numFmtId="0" fontId="4" fillId="0" borderId="0" xfId="0" applyFont="1" applyAlignment="1" applyProtection="1">
      <alignment horizontal="left"/>
      <protection locked="0"/>
    </xf>
    <xf numFmtId="0" fontId="19" fillId="0" borderId="0" xfId="1" applyFont="1"/>
    <xf numFmtId="0" fontId="19" fillId="0" borderId="0" xfId="0" applyFont="1"/>
    <xf numFmtId="0" fontId="19" fillId="0" borderId="13" xfId="1" applyFont="1" applyBorder="1"/>
    <xf numFmtId="0" fontId="4" fillId="0" borderId="13" xfId="0" applyFont="1" applyBorder="1" applyAlignment="1" applyProtection="1">
      <alignment horizontal="left"/>
      <protection locked="0"/>
    </xf>
    <xf numFmtId="0" fontId="0" fillId="0" borderId="13" xfId="0" applyBorder="1"/>
    <xf numFmtId="0" fontId="0" fillId="0" borderId="51" xfId="0" applyBorder="1"/>
    <xf numFmtId="0" fontId="0" fillId="0" borderId="56" xfId="0" applyBorder="1"/>
    <xf numFmtId="0" fontId="4" fillId="13" borderId="56" xfId="0" applyFont="1" applyFill="1" applyBorder="1" applyAlignment="1">
      <alignment horizontal="left"/>
    </xf>
    <xf numFmtId="0" fontId="4" fillId="13" borderId="37" xfId="0" applyFont="1" applyFill="1" applyBorder="1" applyAlignment="1">
      <alignment horizontal="left"/>
    </xf>
    <xf numFmtId="164" fontId="16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4" fillId="0" borderId="30" xfId="0" applyNumberFormat="1" applyFont="1" applyBorder="1" applyProtection="1">
      <protection locked="0"/>
    </xf>
    <xf numFmtId="0" fontId="4" fillId="0" borderId="30" xfId="0" applyFont="1" applyBorder="1"/>
    <xf numFmtId="164" fontId="4" fillId="13" borderId="30" xfId="0" applyNumberFormat="1" applyFont="1" applyFill="1" applyBorder="1" applyAlignment="1">
      <alignment horizontal="center"/>
    </xf>
    <xf numFmtId="0" fontId="4" fillId="13" borderId="30" xfId="0" applyFont="1" applyFill="1" applyBorder="1"/>
    <xf numFmtId="0" fontId="10" fillId="0" borderId="30" xfId="0" applyFont="1" applyBorder="1"/>
    <xf numFmtId="164" fontId="4" fillId="0" borderId="44" xfId="0" applyNumberFormat="1" applyFont="1" applyBorder="1" applyProtection="1">
      <protection locked="0"/>
    </xf>
    <xf numFmtId="164" fontId="4" fillId="0" borderId="17" xfId="0" applyNumberFormat="1" applyFont="1" applyBorder="1" applyProtection="1">
      <protection locked="0"/>
    </xf>
    <xf numFmtId="164" fontId="4" fillId="2" borderId="0" xfId="0" applyNumberFormat="1" applyFont="1" applyFill="1" applyAlignment="1" applyProtection="1">
      <alignment horizontal="right"/>
      <protection locked="0"/>
    </xf>
    <xf numFmtId="164" fontId="17" fillId="5" borderId="5" xfId="0" applyNumberFormat="1" applyFont="1" applyFill="1" applyBorder="1" applyAlignment="1">
      <alignment horizontal="center" wrapText="1"/>
    </xf>
    <xf numFmtId="164" fontId="17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4" fillId="2" borderId="0" xfId="0" applyNumberFormat="1" applyFont="1" applyFill="1" applyProtection="1">
      <protection locked="0"/>
    </xf>
    <xf numFmtId="164" fontId="4" fillId="0" borderId="20" xfId="0" applyNumberFormat="1" applyFont="1" applyBorder="1" applyProtection="1">
      <protection locked="0"/>
    </xf>
    <xf numFmtId="164" fontId="4" fillId="0" borderId="55" xfId="0" applyNumberFormat="1" applyFont="1" applyBorder="1" applyProtection="1">
      <protection locked="0"/>
    </xf>
    <xf numFmtId="164" fontId="4" fillId="5" borderId="5" xfId="0" applyNumberFormat="1" applyFont="1" applyFill="1" applyBorder="1"/>
    <xf numFmtId="164" fontId="4" fillId="5" borderId="4" xfId="0" applyNumberFormat="1" applyFont="1" applyFill="1" applyBorder="1"/>
    <xf numFmtId="164" fontId="4" fillId="2" borderId="0" xfId="0" applyNumberFormat="1" applyFont="1" applyFill="1" applyAlignment="1">
      <alignment horizontal="center"/>
    </xf>
    <xf numFmtId="10" fontId="6" fillId="0" borderId="27" xfId="0" applyNumberFormat="1" applyFont="1" applyBorder="1"/>
    <xf numFmtId="165" fontId="15" fillId="12" borderId="39" xfId="0" applyNumberFormat="1" applyFont="1" applyFill="1" applyBorder="1"/>
    <xf numFmtId="164" fontId="16" fillId="5" borderId="5" xfId="0" applyNumberFormat="1" applyFont="1" applyFill="1" applyBorder="1"/>
    <xf numFmtId="0" fontId="15" fillId="5" borderId="4" xfId="0" applyFont="1" applyFill="1" applyBorder="1"/>
    <xf numFmtId="164" fontId="16" fillId="5" borderId="4" xfId="0" applyNumberFormat="1" applyFont="1" applyFill="1" applyBorder="1"/>
    <xf numFmtId="164" fontId="16" fillId="5" borderId="19" xfId="0" applyNumberFormat="1" applyFont="1" applyFill="1" applyBorder="1" applyAlignment="1">
      <alignment horizontal="center"/>
    </xf>
    <xf numFmtId="164" fontId="16" fillId="5" borderId="43" xfId="0" applyNumberFormat="1" applyFont="1" applyFill="1" applyBorder="1"/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10" fontId="2" fillId="11" borderId="27" xfId="0" applyNumberFormat="1" applyFont="1" applyFill="1" applyBorder="1"/>
    <xf numFmtId="165" fontId="14" fillId="11" borderId="6" xfId="0" applyNumberFormat="1" applyFont="1" applyFill="1" applyBorder="1"/>
    <xf numFmtId="165" fontId="14" fillId="11" borderId="53" xfId="0" applyNumberFormat="1" applyFont="1" applyFill="1" applyBorder="1"/>
    <xf numFmtId="165" fontId="7" fillId="10" borderId="53" xfId="0" applyNumberFormat="1" applyFont="1" applyFill="1" applyBorder="1"/>
    <xf numFmtId="0" fontId="7" fillId="10" borderId="53" xfId="0" applyFont="1" applyFill="1" applyBorder="1" applyAlignment="1">
      <alignment horizontal="left"/>
    </xf>
    <xf numFmtId="0" fontId="7" fillId="0" borderId="53" xfId="0" applyFont="1" applyBorder="1" applyAlignment="1">
      <alignment horizontal="center"/>
    </xf>
    <xf numFmtId="10" fontId="6" fillId="9" borderId="39" xfId="0" applyNumberFormat="1" applyFont="1" applyFill="1" applyBorder="1"/>
    <xf numFmtId="164" fontId="4" fillId="9" borderId="39" xfId="0" applyNumberFormat="1" applyFont="1" applyFill="1" applyBorder="1"/>
    <xf numFmtId="164" fontId="4" fillId="9" borderId="16" xfId="0" applyNumberFormat="1" applyFont="1" applyFill="1" applyBorder="1"/>
    <xf numFmtId="164" fontId="0" fillId="9" borderId="46" xfId="0" applyNumberFormat="1" applyFill="1" applyBorder="1" applyProtection="1">
      <protection locked="0"/>
    </xf>
    <xf numFmtId="164" fontId="4" fillId="9" borderId="19" xfId="0" applyNumberFormat="1" applyFont="1" applyFill="1" applyBorder="1"/>
    <xf numFmtId="0" fontId="4" fillId="9" borderId="14" xfId="0" applyFont="1" applyFill="1" applyBorder="1"/>
    <xf numFmtId="0" fontId="4" fillId="0" borderId="39" xfId="0" applyFont="1" applyBorder="1" applyAlignment="1">
      <alignment horizontal="center"/>
    </xf>
    <xf numFmtId="10" fontId="6" fillId="0" borderId="12" xfId="0" applyNumberFormat="1" applyFont="1" applyBorder="1"/>
    <xf numFmtId="164" fontId="0" fillId="0" borderId="12" xfId="0" applyNumberFormat="1" applyBorder="1" applyAlignment="1">
      <alignment horizontal="right"/>
    </xf>
    <xf numFmtId="164" fontId="0" fillId="0" borderId="52" xfId="0" applyNumberFormat="1" applyBorder="1" applyProtection="1">
      <protection locked="0"/>
    </xf>
    <xf numFmtId="164" fontId="0" fillId="0" borderId="51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0" fontId="0" fillId="0" borderId="50" xfId="0" applyBorder="1"/>
    <xf numFmtId="0" fontId="0" fillId="0" borderId="28" xfId="0" applyBorder="1" applyAlignment="1">
      <alignment horizontal="center"/>
    </xf>
    <xf numFmtId="164" fontId="0" fillId="0" borderId="32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48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29" xfId="0" applyBorder="1"/>
    <xf numFmtId="0" fontId="0" fillId="0" borderId="28" xfId="0" applyBorder="1" applyProtection="1">
      <protection locked="0"/>
    </xf>
    <xf numFmtId="0" fontId="0" fillId="0" borderId="48" xfId="0" applyBorder="1" applyProtection="1">
      <protection locked="0"/>
    </xf>
    <xf numFmtId="0" fontId="6" fillId="0" borderId="29" xfId="0" applyFont="1" applyBorder="1" applyAlignment="1">
      <alignment horizontal="left" indent="5"/>
    </xf>
    <xf numFmtId="0" fontId="6" fillId="0" borderId="29" xfId="0" applyFont="1" applyBorder="1"/>
    <xf numFmtId="164" fontId="0" fillId="0" borderId="47" xfId="0" applyNumberFormat="1" applyBorder="1" applyAlignment="1">
      <alignment horizontal="right"/>
    </xf>
    <xf numFmtId="164" fontId="0" fillId="0" borderId="46" xfId="0" applyNumberFormat="1" applyBorder="1" applyProtection="1">
      <protection locked="0"/>
    </xf>
    <xf numFmtId="164" fontId="0" fillId="0" borderId="45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0" fontId="0" fillId="0" borderId="23" xfId="0" applyBorder="1"/>
    <xf numFmtId="0" fontId="0" fillId="0" borderId="22" xfId="0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4" fillId="5" borderId="40" xfId="0" applyFont="1" applyFill="1" applyBorder="1"/>
    <xf numFmtId="0" fontId="0" fillId="5" borderId="41" xfId="0" applyFill="1" applyBorder="1" applyAlignment="1">
      <alignment horizontal="center"/>
    </xf>
    <xf numFmtId="10" fontId="6" fillId="4" borderId="39" xfId="0" applyNumberFormat="1" applyFont="1" applyFill="1" applyBorder="1"/>
    <xf numFmtId="164" fontId="4" fillId="4" borderId="6" xfId="0" applyNumberFormat="1" applyFont="1" applyFill="1" applyBorder="1" applyAlignment="1">
      <alignment horizontal="right"/>
    </xf>
    <xf numFmtId="164" fontId="4" fillId="4" borderId="11" xfId="0" applyNumberFormat="1" applyFont="1" applyFill="1" applyBorder="1" applyAlignment="1">
      <alignment horizontal="right"/>
    </xf>
    <xf numFmtId="164" fontId="4" fillId="4" borderId="10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0" fontId="4" fillId="4" borderId="40" xfId="0" applyFont="1" applyFill="1" applyBorder="1"/>
    <xf numFmtId="164" fontId="0" fillId="0" borderId="38" xfId="0" applyNumberFormat="1" applyBorder="1" applyAlignment="1" applyProtection="1">
      <alignment horizontal="right"/>
      <protection locked="0"/>
    </xf>
    <xf numFmtId="164" fontId="0" fillId="0" borderId="37" xfId="0" applyNumberFormat="1" applyBorder="1" applyAlignment="1" applyProtection="1">
      <alignment horizontal="right"/>
      <protection locked="0"/>
    </xf>
    <xf numFmtId="164" fontId="0" fillId="0" borderId="36" xfId="0" applyNumberFormat="1" applyBorder="1" applyAlignment="1" applyProtection="1">
      <alignment horizontal="right"/>
      <protection locked="0"/>
    </xf>
    <xf numFmtId="164" fontId="0" fillId="6" borderId="36" xfId="0" applyNumberFormat="1" applyFill="1" applyBorder="1" applyAlignment="1">
      <alignment horizontal="right"/>
    </xf>
    <xf numFmtId="164" fontId="0" fillId="6" borderId="35" xfId="0" applyNumberFormat="1" applyFill="1" applyBorder="1" applyAlignment="1">
      <alignment horizontal="right"/>
    </xf>
    <xf numFmtId="164" fontId="0" fillId="0" borderId="31" xfId="0" applyNumberFormat="1" applyBorder="1" applyAlignment="1" applyProtection="1">
      <alignment horizontal="right"/>
      <protection locked="0"/>
    </xf>
    <xf numFmtId="0" fontId="0" fillId="0" borderId="34" xfId="0" applyBorder="1" applyAlignment="1">
      <alignment horizontal="left" indent="5"/>
    </xf>
    <xf numFmtId="0" fontId="0" fillId="0" borderId="33" xfId="0" applyBorder="1" applyAlignment="1">
      <alignment horizontal="center"/>
    </xf>
    <xf numFmtId="164" fontId="0" fillId="0" borderId="32" xfId="0" applyNumberFormat="1" applyBorder="1" applyAlignment="1" applyProtection="1">
      <alignment horizontal="right"/>
      <protection locked="0"/>
    </xf>
    <xf numFmtId="164" fontId="0" fillId="0" borderId="30" xfId="0" applyNumberFormat="1" applyBorder="1" applyAlignment="1" applyProtection="1">
      <alignment horizontal="right"/>
      <protection locked="0"/>
    </xf>
    <xf numFmtId="164" fontId="0" fillId="6" borderId="30" xfId="0" applyNumberFormat="1" applyFill="1" applyBorder="1" applyAlignment="1">
      <alignment horizontal="right"/>
    </xf>
    <xf numFmtId="164" fontId="0" fillId="6" borderId="28" xfId="0" applyNumberFormat="1" applyFill="1" applyBorder="1" applyAlignment="1">
      <alignment horizontal="right"/>
    </xf>
    <xf numFmtId="164" fontId="0" fillId="0" borderId="27" xfId="0" applyNumberFormat="1" applyBorder="1" applyAlignment="1" applyProtection="1">
      <alignment horizontal="right"/>
      <protection locked="0"/>
    </xf>
    <xf numFmtId="0" fontId="9" fillId="0" borderId="29" xfId="0" applyFont="1" applyBorder="1"/>
    <xf numFmtId="164" fontId="3" fillId="6" borderId="30" xfId="0" applyNumberFormat="1" applyFont="1" applyFill="1" applyBorder="1" applyAlignment="1">
      <alignment horizontal="right"/>
    </xf>
    <xf numFmtId="164" fontId="3" fillId="6" borderId="28" xfId="0" applyNumberFormat="1" applyFont="1" applyFill="1" applyBorder="1" applyAlignment="1">
      <alignment horizontal="right"/>
    </xf>
    <xf numFmtId="0" fontId="6" fillId="0" borderId="29" xfId="0" applyFont="1" applyBorder="1" applyAlignment="1">
      <alignment horizontal="left"/>
    </xf>
    <xf numFmtId="164" fontId="0" fillId="8" borderId="32" xfId="0" applyNumberFormat="1" applyFill="1" applyBorder="1" applyAlignment="1" applyProtection="1">
      <alignment horizontal="right"/>
      <protection locked="0"/>
    </xf>
    <xf numFmtId="0" fontId="6" fillId="9" borderId="29" xfId="0" applyFont="1" applyFill="1" applyBorder="1"/>
    <xf numFmtId="164" fontId="0" fillId="8" borderId="27" xfId="0" applyNumberFormat="1" applyFill="1" applyBorder="1" applyAlignment="1" applyProtection="1">
      <alignment horizontal="right"/>
      <protection locked="0"/>
    </xf>
    <xf numFmtId="164" fontId="0" fillId="7" borderId="28" xfId="0" applyNumberFormat="1" applyFill="1" applyBorder="1" applyAlignment="1" applyProtection="1">
      <alignment horizontal="right"/>
      <protection locked="0"/>
    </xf>
    <xf numFmtId="0" fontId="0" fillId="7" borderId="29" xfId="0" applyFill="1" applyBorder="1"/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>
      <alignment horizontal="right"/>
      <protection locked="0"/>
    </xf>
    <xf numFmtId="164" fontId="0" fillId="6" borderId="25" xfId="0" applyNumberFormat="1" applyFill="1" applyBorder="1" applyAlignment="1">
      <alignment horizontal="right"/>
    </xf>
    <xf numFmtId="164" fontId="0" fillId="6" borderId="24" xfId="0" applyNumberForma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0" fontId="0" fillId="2" borderId="0" xfId="0" applyNumberFormat="1" applyFill="1"/>
    <xf numFmtId="0" fontId="6" fillId="2" borderId="0" xfId="0" applyFont="1" applyFill="1"/>
    <xf numFmtId="0" fontId="5" fillId="2" borderId="0" xfId="0" applyFont="1" applyFill="1"/>
    <xf numFmtId="49" fontId="37" fillId="0" borderId="0" xfId="0" applyNumberFormat="1" applyFont="1"/>
    <xf numFmtId="164" fontId="0" fillId="0" borderId="50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60" xfId="0" applyNumberFormat="1" applyBorder="1" applyProtection="1">
      <protection locked="0"/>
    </xf>
    <xf numFmtId="0" fontId="0" fillId="0" borderId="35" xfId="0" applyBorder="1" applyAlignment="1">
      <alignment horizontal="center"/>
    </xf>
    <xf numFmtId="164" fontId="4" fillId="9" borderId="14" xfId="0" applyNumberFormat="1" applyFont="1" applyFill="1" applyBorder="1"/>
    <xf numFmtId="164" fontId="0" fillId="9" borderId="39" xfId="0" applyNumberFormat="1" applyFill="1" applyBorder="1" applyProtection="1">
      <protection locked="0"/>
    </xf>
    <xf numFmtId="165" fontId="14" fillId="11" borderId="61" xfId="0" applyNumberFormat="1" applyFont="1" applyFill="1" applyBorder="1"/>
    <xf numFmtId="0" fontId="10" fillId="0" borderId="13" xfId="1" applyFont="1" applyBorder="1"/>
    <xf numFmtId="0" fontId="4" fillId="0" borderId="0" xfId="0" applyFont="1"/>
    <xf numFmtId="0" fontId="1" fillId="0" borderId="0" xfId="0" applyFont="1"/>
    <xf numFmtId="0" fontId="6" fillId="0" borderId="0" xfId="1" applyFont="1"/>
    <xf numFmtId="0" fontId="10" fillId="0" borderId="0" xfId="0" applyFont="1"/>
    <xf numFmtId="0" fontId="10" fillId="0" borderId="0" xfId="1" applyFont="1"/>
    <xf numFmtId="0" fontId="4" fillId="0" borderId="57" xfId="0" applyFont="1" applyBorder="1"/>
    <xf numFmtId="0" fontId="10" fillId="0" borderId="26" xfId="1" applyFont="1" applyBorder="1"/>
    <xf numFmtId="0" fontId="10" fillId="0" borderId="58" xfId="0" applyFont="1" applyBorder="1"/>
    <xf numFmtId="0" fontId="6" fillId="0" borderId="58" xfId="1" applyFont="1" applyBorder="1"/>
    <xf numFmtId="0" fontId="38" fillId="0" borderId="0" xfId="0" applyFont="1" applyFill="1"/>
    <xf numFmtId="0" fontId="38" fillId="2" borderId="0" xfId="0" applyFont="1" applyFill="1"/>
    <xf numFmtId="0" fontId="38" fillId="0" borderId="57" xfId="0" applyFont="1" applyFill="1" applyBorder="1"/>
    <xf numFmtId="0" fontId="38" fillId="0" borderId="0" xfId="0" applyFont="1" applyFill="1" applyBorder="1"/>
    <xf numFmtId="0" fontId="38" fillId="2" borderId="0" xfId="0" applyFont="1" applyFill="1" applyProtection="1"/>
    <xf numFmtId="0" fontId="38" fillId="0" borderId="13" xfId="0" applyFont="1" applyFill="1" applyBorder="1"/>
    <xf numFmtId="0" fontId="38" fillId="0" borderId="51" xfId="0" applyFont="1" applyFill="1" applyBorder="1"/>
    <xf numFmtId="0" fontId="38" fillId="0" borderId="56" xfId="0" applyFont="1" applyFill="1" applyBorder="1"/>
    <xf numFmtId="0" fontId="39" fillId="13" borderId="56" xfId="0" applyFont="1" applyFill="1" applyBorder="1" applyAlignment="1" applyProtection="1">
      <alignment horizontal="left"/>
    </xf>
    <xf numFmtId="0" fontId="39" fillId="13" borderId="37" xfId="0" applyFont="1" applyFill="1" applyBorder="1" applyAlignment="1" applyProtection="1">
      <alignment horizontal="left"/>
    </xf>
    <xf numFmtId="164" fontId="40" fillId="2" borderId="0" xfId="0" applyNumberFormat="1" applyFont="1" applyFill="1" applyBorder="1" applyAlignment="1" applyProtection="1">
      <alignment horizontal="right"/>
    </xf>
    <xf numFmtId="164" fontId="39" fillId="2" borderId="0" xfId="0" applyNumberFormat="1" applyFont="1" applyFill="1" applyBorder="1" applyProtection="1"/>
    <xf numFmtId="0" fontId="39" fillId="2" borderId="0" xfId="0" applyFont="1" applyFill="1" applyBorder="1" applyProtection="1"/>
    <xf numFmtId="0" fontId="39" fillId="2" borderId="0" xfId="0" applyFont="1" applyFill="1" applyBorder="1" applyAlignment="1" applyProtection="1">
      <alignment horizontal="center"/>
    </xf>
    <xf numFmtId="164" fontId="39" fillId="0" borderId="30" xfId="0" applyNumberFormat="1" applyFont="1" applyFill="1" applyBorder="1" applyProtection="1">
      <protection locked="0"/>
    </xf>
    <xf numFmtId="0" fontId="39" fillId="0" borderId="30" xfId="0" applyFont="1" applyFill="1" applyBorder="1" applyProtection="1"/>
    <xf numFmtId="164" fontId="39" fillId="13" borderId="30" xfId="0" applyNumberFormat="1" applyFont="1" applyFill="1" applyBorder="1" applyAlignment="1" applyProtection="1">
      <alignment horizontal="center"/>
    </xf>
    <xf numFmtId="0" fontId="39" fillId="13" borderId="30" xfId="0" applyFont="1" applyFill="1" applyBorder="1" applyProtection="1"/>
    <xf numFmtId="164" fontId="39" fillId="0" borderId="30" xfId="0" applyNumberFormat="1" applyFont="1" applyFill="1" applyBorder="1" applyProtection="1"/>
    <xf numFmtId="164" fontId="39" fillId="0" borderId="30" xfId="0" applyNumberFormat="1" applyFont="1" applyFill="1" applyBorder="1" applyAlignment="1" applyProtection="1">
      <alignment horizontal="right"/>
      <protection locked="0"/>
    </xf>
    <xf numFmtId="0" fontId="41" fillId="0" borderId="30" xfId="0" applyFont="1" applyFill="1" applyBorder="1" applyProtection="1"/>
    <xf numFmtId="164" fontId="39" fillId="0" borderId="44" xfId="0" applyNumberFormat="1" applyFont="1" applyFill="1" applyBorder="1" applyProtection="1">
      <protection locked="0"/>
    </xf>
    <xf numFmtId="164" fontId="39" fillId="0" borderId="17" xfId="0" applyNumberFormat="1" applyFont="1" applyFill="1" applyBorder="1" applyProtection="1">
      <protection locked="0"/>
    </xf>
    <xf numFmtId="164" fontId="39" fillId="2" borderId="0" xfId="0" applyNumberFormat="1" applyFont="1" applyFill="1" applyBorder="1" applyAlignment="1" applyProtection="1">
      <alignment horizontal="right"/>
      <protection locked="0"/>
    </xf>
    <xf numFmtId="0" fontId="38" fillId="2" borderId="0" xfId="0" applyFont="1" applyFill="1" applyBorder="1"/>
    <xf numFmtId="164" fontId="39" fillId="5" borderId="5" xfId="0" applyNumberFormat="1" applyFont="1" applyFill="1" applyBorder="1" applyAlignment="1" applyProtection="1">
      <alignment horizontal="center" wrapText="1"/>
    </xf>
    <xf numFmtId="164" fontId="39" fillId="5" borderId="19" xfId="0" applyNumberFormat="1" applyFont="1" applyFill="1" applyBorder="1" applyAlignment="1" applyProtection="1">
      <alignment horizontal="center" wrapText="1"/>
      <protection locked="0"/>
    </xf>
    <xf numFmtId="164" fontId="39" fillId="2" borderId="0" xfId="0" applyNumberFormat="1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/>
    </xf>
    <xf numFmtId="0" fontId="38" fillId="2" borderId="0" xfId="0" applyFont="1" applyFill="1" applyBorder="1" applyProtection="1"/>
    <xf numFmtId="164" fontId="39" fillId="2" borderId="0" xfId="0" applyNumberFormat="1" applyFont="1" applyFill="1" applyBorder="1" applyProtection="1">
      <protection locked="0"/>
    </xf>
    <xf numFmtId="164" fontId="39" fillId="0" borderId="20" xfId="0" applyNumberFormat="1" applyFont="1" applyFill="1" applyBorder="1" applyProtection="1">
      <protection locked="0"/>
    </xf>
    <xf numFmtId="164" fontId="39" fillId="0" borderId="55" xfId="0" applyNumberFormat="1" applyFont="1" applyFill="1" applyBorder="1" applyProtection="1">
      <protection locked="0"/>
    </xf>
    <xf numFmtId="164" fontId="39" fillId="5" borderId="5" xfId="0" applyNumberFormat="1" applyFont="1" applyFill="1" applyBorder="1" applyProtection="1"/>
    <xf numFmtId="164" fontId="39" fillId="5" borderId="4" xfId="0" applyNumberFormat="1" applyFont="1" applyFill="1" applyBorder="1" applyProtection="1"/>
    <xf numFmtId="164" fontId="39" fillId="5" borderId="19" xfId="0" applyNumberFormat="1" applyFont="1" applyFill="1" applyBorder="1" applyProtection="1">
      <protection locked="0"/>
    </xf>
    <xf numFmtId="164" fontId="39" fillId="2" borderId="0" xfId="0" applyNumberFormat="1" applyFont="1" applyFill="1" applyBorder="1" applyAlignment="1" applyProtection="1">
      <alignment horizontal="center"/>
    </xf>
    <xf numFmtId="10" fontId="42" fillId="0" borderId="27" xfId="0" applyNumberFormat="1" applyFont="1" applyFill="1" applyBorder="1" applyProtection="1"/>
    <xf numFmtId="165" fontId="43" fillId="12" borderId="39" xfId="0" applyNumberFormat="1" applyFont="1" applyFill="1" applyBorder="1" applyProtection="1"/>
    <xf numFmtId="164" fontId="40" fillId="5" borderId="5" xfId="0" applyNumberFormat="1" applyFont="1" applyFill="1" applyBorder="1" applyProtection="1"/>
    <xf numFmtId="0" fontId="43" fillId="5" borderId="4" xfId="0" applyFont="1" applyFill="1" applyBorder="1" applyProtection="1"/>
    <xf numFmtId="164" fontId="40" fillId="5" borderId="4" xfId="0" applyNumberFormat="1" applyFont="1" applyFill="1" applyBorder="1" applyProtection="1"/>
    <xf numFmtId="164" fontId="40" fillId="5" borderId="19" xfId="0" applyNumberFormat="1" applyFont="1" applyFill="1" applyBorder="1" applyAlignment="1" applyProtection="1">
      <alignment horizontal="center"/>
    </xf>
    <xf numFmtId="164" fontId="40" fillId="5" borderId="43" xfId="0" applyNumberFormat="1" applyFont="1" applyFill="1" applyBorder="1" applyProtection="1"/>
    <xf numFmtId="0" fontId="43" fillId="0" borderId="14" xfId="0" applyFont="1" applyBorder="1" applyProtection="1"/>
    <xf numFmtId="0" fontId="43" fillId="0" borderId="14" xfId="0" applyFont="1" applyFill="1" applyBorder="1" applyAlignment="1" applyProtection="1">
      <alignment horizontal="center"/>
    </xf>
    <xf numFmtId="10" fontId="44" fillId="11" borderId="27" xfId="0" applyNumberFormat="1" applyFont="1" applyFill="1" applyBorder="1" applyProtection="1"/>
    <xf numFmtId="165" fontId="44" fillId="11" borderId="6" xfId="0" applyNumberFormat="1" applyFont="1" applyFill="1" applyBorder="1" applyAlignment="1" applyProtection="1"/>
    <xf numFmtId="165" fontId="44" fillId="11" borderId="53" xfId="0" applyNumberFormat="1" applyFont="1" applyFill="1" applyBorder="1" applyAlignment="1" applyProtection="1"/>
    <xf numFmtId="165" fontId="39" fillId="10" borderId="53" xfId="0" applyNumberFormat="1" applyFont="1" applyFill="1" applyBorder="1" applyAlignment="1" applyProtection="1"/>
    <xf numFmtId="0" fontId="39" fillId="10" borderId="53" xfId="0" applyFont="1" applyFill="1" applyBorder="1" applyAlignment="1" applyProtection="1">
      <alignment horizontal="left"/>
    </xf>
    <xf numFmtId="0" fontId="39" fillId="0" borderId="53" xfId="0" applyFont="1" applyFill="1" applyBorder="1" applyAlignment="1" applyProtection="1">
      <alignment horizontal="center"/>
    </xf>
    <xf numFmtId="10" fontId="42" fillId="9" borderId="39" xfId="0" applyNumberFormat="1" applyFont="1" applyFill="1" applyBorder="1" applyProtection="1"/>
    <xf numFmtId="164" fontId="39" fillId="9" borderId="39" xfId="0" applyNumberFormat="1" applyFont="1" applyFill="1" applyBorder="1" applyProtection="1"/>
    <xf numFmtId="164" fontId="39" fillId="9" borderId="16" xfId="0" applyNumberFormat="1" applyFont="1" applyFill="1" applyBorder="1" applyProtection="1"/>
    <xf numFmtId="164" fontId="38" fillId="9" borderId="46" xfId="0" applyNumberFormat="1" applyFont="1" applyFill="1" applyBorder="1" applyProtection="1">
      <protection locked="0"/>
    </xf>
    <xf numFmtId="164" fontId="39" fillId="9" borderId="19" xfId="0" applyNumberFormat="1" applyFont="1" applyFill="1" applyBorder="1" applyProtection="1"/>
    <xf numFmtId="0" fontId="39" fillId="9" borderId="14" xfId="0" applyFont="1" applyFill="1" applyBorder="1" applyProtection="1"/>
    <xf numFmtId="0" fontId="39" fillId="0" borderId="39" xfId="0" applyFont="1" applyFill="1" applyBorder="1" applyAlignment="1" applyProtection="1">
      <alignment horizontal="center"/>
    </xf>
    <xf numFmtId="10" fontId="42" fillId="0" borderId="12" xfId="0" applyNumberFormat="1" applyFont="1" applyFill="1" applyBorder="1" applyProtection="1"/>
    <xf numFmtId="164" fontId="38" fillId="0" borderId="12" xfId="0" applyNumberFormat="1" applyFont="1" applyFill="1" applyBorder="1" applyAlignment="1" applyProtection="1">
      <alignment horizontal="right"/>
    </xf>
    <xf numFmtId="164" fontId="38" fillId="0" borderId="52" xfId="0" applyNumberFormat="1" applyFont="1" applyBorder="1" applyProtection="1">
      <protection locked="0"/>
    </xf>
    <xf numFmtId="164" fontId="38" fillId="0" borderId="51" xfId="0" applyNumberFormat="1" applyFont="1" applyBorder="1" applyProtection="1">
      <protection locked="0"/>
    </xf>
    <xf numFmtId="164" fontId="38" fillId="0" borderId="35" xfId="0" applyNumberFormat="1" applyFont="1" applyBorder="1" applyProtection="1">
      <protection locked="0"/>
    </xf>
    <xf numFmtId="164" fontId="38" fillId="0" borderId="49" xfId="0" applyNumberFormat="1" applyFont="1" applyBorder="1" applyProtection="1">
      <protection locked="0"/>
    </xf>
    <xf numFmtId="0" fontId="38" fillId="0" borderId="50" xfId="0" applyFont="1" applyBorder="1" applyProtection="1"/>
    <xf numFmtId="0" fontId="38" fillId="0" borderId="35" xfId="0" applyFont="1" applyFill="1" applyBorder="1" applyAlignment="1" applyProtection="1">
      <alignment horizontal="center"/>
    </xf>
    <xf numFmtId="164" fontId="38" fillId="0" borderId="27" xfId="0" applyNumberFormat="1" applyFont="1" applyFill="1" applyBorder="1" applyAlignment="1" applyProtection="1">
      <alignment horizontal="right"/>
    </xf>
    <xf numFmtId="164" fontId="38" fillId="0" borderId="48" xfId="0" applyNumberFormat="1" applyFont="1" applyBorder="1" applyProtection="1">
      <protection locked="0"/>
    </xf>
    <xf numFmtId="164" fontId="38" fillId="0" borderId="28" xfId="0" applyNumberFormat="1" applyFont="1" applyBorder="1" applyProtection="1">
      <protection locked="0"/>
    </xf>
    <xf numFmtId="0" fontId="38" fillId="0" borderId="29" xfId="0" applyFont="1" applyBorder="1" applyProtection="1"/>
    <xf numFmtId="0" fontId="38" fillId="0" borderId="28" xfId="0" applyFont="1" applyFill="1" applyBorder="1" applyAlignment="1" applyProtection="1">
      <alignment horizontal="center"/>
    </xf>
    <xf numFmtId="0" fontId="38" fillId="0" borderId="28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42" fillId="0" borderId="29" xfId="0" applyFont="1" applyBorder="1" applyAlignment="1" applyProtection="1">
      <alignment horizontal="left" indent="5"/>
    </xf>
    <xf numFmtId="0" fontId="42" fillId="0" borderId="29" xfId="0" applyFont="1" applyBorder="1" applyProtection="1"/>
    <xf numFmtId="164" fontId="38" fillId="0" borderId="49" xfId="0" applyNumberFormat="1" applyFont="1" applyFill="1" applyBorder="1" applyProtection="1">
      <protection locked="0"/>
    </xf>
    <xf numFmtId="164" fontId="38" fillId="0" borderId="48" xfId="0" applyNumberFormat="1" applyFont="1" applyFill="1" applyBorder="1" applyProtection="1">
      <protection locked="0"/>
    </xf>
    <xf numFmtId="164" fontId="38" fillId="0" borderId="28" xfId="0" applyNumberFormat="1" applyFont="1" applyFill="1" applyBorder="1" applyProtection="1">
      <protection locked="0"/>
    </xf>
    <xf numFmtId="0" fontId="38" fillId="0" borderId="29" xfId="0" applyFont="1" applyFill="1" applyBorder="1" applyProtection="1"/>
    <xf numFmtId="164" fontId="38" fillId="0" borderId="47" xfId="0" applyNumberFormat="1" applyFont="1" applyFill="1" applyBorder="1" applyAlignment="1" applyProtection="1">
      <alignment horizontal="right"/>
    </xf>
    <xf numFmtId="164" fontId="38" fillId="0" borderId="46" xfId="0" applyNumberFormat="1" applyFont="1" applyBorder="1" applyProtection="1">
      <protection locked="0"/>
    </xf>
    <xf numFmtId="164" fontId="38" fillId="0" borderId="45" xfId="0" applyNumberFormat="1" applyFont="1" applyBorder="1" applyProtection="1">
      <protection locked="0"/>
    </xf>
    <xf numFmtId="164" fontId="38" fillId="0" borderId="22" xfId="0" applyNumberFormat="1" applyFont="1" applyBorder="1" applyProtection="1">
      <protection locked="0"/>
    </xf>
    <xf numFmtId="0" fontId="38" fillId="0" borderId="23" xfId="0" applyFont="1" applyBorder="1" applyProtection="1"/>
    <xf numFmtId="0" fontId="38" fillId="0" borderId="22" xfId="0" applyFont="1" applyFill="1" applyBorder="1" applyAlignment="1" applyProtection="1">
      <alignment horizontal="center"/>
    </xf>
    <xf numFmtId="0" fontId="38" fillId="0" borderId="43" xfId="0" applyFont="1" applyBorder="1" applyAlignment="1" applyProtection="1">
      <alignment horizontal="center"/>
    </xf>
    <xf numFmtId="0" fontId="38" fillId="0" borderId="4" xfId="0" applyFont="1" applyBorder="1" applyAlignment="1" applyProtection="1">
      <alignment horizontal="center"/>
    </xf>
    <xf numFmtId="0" fontId="38" fillId="0" borderId="19" xfId="0" applyFont="1" applyBorder="1" applyAlignment="1" applyProtection="1">
      <alignment horizontal="center"/>
    </xf>
    <xf numFmtId="0" fontId="39" fillId="5" borderId="40" xfId="0" applyFont="1" applyFill="1" applyBorder="1" applyProtection="1"/>
    <xf numFmtId="0" fontId="38" fillId="5" borderId="41" xfId="0" applyFont="1" applyFill="1" applyBorder="1" applyAlignment="1" applyProtection="1">
      <alignment horizontal="center"/>
    </xf>
    <xf numFmtId="10" fontId="42" fillId="4" borderId="39" xfId="0" applyNumberFormat="1" applyFont="1" applyFill="1" applyBorder="1" applyProtection="1"/>
    <xf numFmtId="164" fontId="39" fillId="4" borderId="6" xfId="0" applyNumberFormat="1" applyFont="1" applyFill="1" applyBorder="1" applyAlignment="1" applyProtection="1">
      <alignment horizontal="right"/>
    </xf>
    <xf numFmtId="164" fontId="39" fillId="4" borderId="11" xfId="0" applyNumberFormat="1" applyFont="1" applyFill="1" applyBorder="1" applyAlignment="1" applyProtection="1">
      <alignment horizontal="right"/>
    </xf>
    <xf numFmtId="164" fontId="39" fillId="4" borderId="10" xfId="0" applyNumberFormat="1" applyFont="1" applyFill="1" applyBorder="1" applyAlignment="1" applyProtection="1">
      <alignment horizontal="right"/>
    </xf>
    <xf numFmtId="164" fontId="39" fillId="4" borderId="1" xfId="0" applyNumberFormat="1" applyFont="1" applyFill="1" applyBorder="1" applyAlignment="1" applyProtection="1">
      <alignment horizontal="right"/>
    </xf>
    <xf numFmtId="0" fontId="39" fillId="4" borderId="40" xfId="0" applyFont="1" applyFill="1" applyBorder="1" applyProtection="1"/>
    <xf numFmtId="164" fontId="38" fillId="0" borderId="38" xfId="0" applyNumberFormat="1" applyFont="1" applyBorder="1" applyAlignment="1" applyProtection="1">
      <alignment horizontal="right"/>
      <protection locked="0"/>
    </xf>
    <xf numFmtId="164" fontId="38" fillId="0" borderId="37" xfId="0" applyNumberFormat="1" applyFont="1" applyFill="1" applyBorder="1" applyAlignment="1" applyProtection="1">
      <alignment horizontal="right"/>
      <protection locked="0"/>
    </xf>
    <xf numFmtId="164" fontId="38" fillId="0" borderId="36" xfId="0" applyNumberFormat="1" applyFont="1" applyBorder="1" applyAlignment="1" applyProtection="1">
      <alignment horizontal="right"/>
      <protection locked="0"/>
    </xf>
    <xf numFmtId="164" fontId="38" fillId="6" borderId="36" xfId="0" applyNumberFormat="1" applyFont="1" applyFill="1" applyBorder="1" applyAlignment="1" applyProtection="1">
      <alignment horizontal="right"/>
    </xf>
    <xf numFmtId="164" fontId="38" fillId="6" borderId="35" xfId="0" applyNumberFormat="1" applyFont="1" applyFill="1" applyBorder="1" applyAlignment="1" applyProtection="1">
      <alignment horizontal="right"/>
    </xf>
    <xf numFmtId="0" fontId="38" fillId="0" borderId="34" xfId="0" applyFont="1" applyBorder="1" applyAlignment="1" applyProtection="1">
      <alignment horizontal="left" indent="5"/>
    </xf>
    <xf numFmtId="0" fontId="38" fillId="0" borderId="33" xfId="0" applyFont="1" applyFill="1" applyBorder="1" applyAlignment="1" applyProtection="1">
      <alignment horizontal="center"/>
    </xf>
    <xf numFmtId="164" fontId="38" fillId="0" borderId="32" xfId="0" applyNumberFormat="1" applyFont="1" applyBorder="1" applyAlignment="1" applyProtection="1">
      <alignment horizontal="right"/>
      <protection locked="0"/>
    </xf>
    <xf numFmtId="164" fontId="38" fillId="0" borderId="31" xfId="0" applyNumberFormat="1" applyFont="1" applyFill="1" applyBorder="1" applyAlignment="1" applyProtection="1">
      <alignment horizontal="right"/>
      <protection locked="0"/>
    </xf>
    <xf numFmtId="164" fontId="38" fillId="0" borderId="30" xfId="0" applyNumberFormat="1" applyFont="1" applyBorder="1" applyAlignment="1" applyProtection="1">
      <alignment horizontal="right"/>
      <protection locked="0"/>
    </xf>
    <xf numFmtId="164" fontId="38" fillId="6" borderId="30" xfId="0" applyNumberFormat="1" applyFont="1" applyFill="1" applyBorder="1" applyAlignment="1" applyProtection="1">
      <alignment horizontal="right"/>
    </xf>
    <xf numFmtId="164" fontId="38" fillId="6" borderId="28" xfId="0" applyNumberFormat="1" applyFont="1" applyFill="1" applyBorder="1" applyAlignment="1" applyProtection="1">
      <alignment horizontal="right"/>
    </xf>
    <xf numFmtId="164" fontId="38" fillId="0" borderId="27" xfId="0" applyNumberFormat="1" applyFont="1" applyBorder="1" applyAlignment="1" applyProtection="1">
      <alignment horizontal="right"/>
      <protection locked="0"/>
    </xf>
    <xf numFmtId="0" fontId="46" fillId="0" borderId="29" xfId="0" applyFont="1" applyBorder="1" applyProtection="1"/>
    <xf numFmtId="164" fontId="47" fillId="0" borderId="30" xfId="0" applyNumberFormat="1" applyFont="1" applyBorder="1" applyAlignment="1" applyProtection="1">
      <alignment horizontal="right"/>
      <protection locked="0"/>
    </xf>
    <xf numFmtId="164" fontId="47" fillId="6" borderId="30" xfId="0" applyNumberFormat="1" applyFont="1" applyFill="1" applyBorder="1" applyAlignment="1" applyProtection="1">
      <alignment horizontal="right"/>
    </xf>
    <xf numFmtId="164" fontId="47" fillId="6" borderId="28" xfId="0" applyNumberFormat="1" applyFont="1" applyFill="1" applyBorder="1" applyAlignment="1" applyProtection="1">
      <alignment horizontal="right"/>
    </xf>
    <xf numFmtId="164" fontId="38" fillId="0" borderId="27" xfId="0" applyNumberFormat="1" applyFont="1" applyFill="1" applyBorder="1" applyAlignment="1" applyProtection="1">
      <alignment horizontal="right"/>
      <protection locked="0"/>
    </xf>
    <xf numFmtId="164" fontId="47" fillId="0" borderId="30" xfId="0" applyNumberFormat="1" applyFont="1" applyFill="1" applyBorder="1" applyAlignment="1" applyProtection="1">
      <alignment horizontal="right"/>
      <protection locked="0"/>
    </xf>
    <xf numFmtId="0" fontId="42" fillId="0" borderId="29" xfId="0" applyFont="1" applyFill="1" applyBorder="1" applyAlignment="1" applyProtection="1">
      <alignment horizontal="left"/>
    </xf>
    <xf numFmtId="164" fontId="38" fillId="8" borderId="32" xfId="0" applyNumberFormat="1" applyFont="1" applyFill="1" applyBorder="1" applyAlignment="1" applyProtection="1">
      <alignment horizontal="right"/>
      <protection locked="0"/>
    </xf>
    <xf numFmtId="164" fontId="47" fillId="9" borderId="28" xfId="0" applyNumberFormat="1" applyFont="1" applyFill="1" applyBorder="1" applyAlignment="1" applyProtection="1">
      <alignment horizontal="right"/>
      <protection locked="0"/>
    </xf>
    <xf numFmtId="0" fontId="42" fillId="9" borderId="29" xfId="0" applyFont="1" applyFill="1" applyBorder="1" applyProtection="1"/>
    <xf numFmtId="164" fontId="38" fillId="8" borderId="27" xfId="0" applyNumberFormat="1" applyFont="1" applyFill="1" applyBorder="1" applyAlignment="1" applyProtection="1">
      <alignment horizontal="right"/>
      <protection locked="0"/>
    </xf>
    <xf numFmtId="164" fontId="38" fillId="7" borderId="28" xfId="0" applyNumberFormat="1" applyFont="1" applyFill="1" applyBorder="1" applyAlignment="1" applyProtection="1">
      <alignment horizontal="right"/>
      <protection locked="0"/>
    </xf>
    <xf numFmtId="0" fontId="38" fillId="7" borderId="29" xfId="0" applyFont="1" applyFill="1" applyBorder="1" applyProtection="1"/>
    <xf numFmtId="164" fontId="38" fillId="0" borderId="26" xfId="0" applyNumberFormat="1" applyFont="1" applyFill="1" applyBorder="1" applyAlignment="1" applyProtection="1">
      <alignment horizontal="right"/>
      <protection locked="0"/>
    </xf>
    <xf numFmtId="164" fontId="38" fillId="0" borderId="25" xfId="0" applyNumberFormat="1" applyFont="1" applyFill="1" applyBorder="1" applyAlignment="1" applyProtection="1">
      <alignment horizontal="right"/>
      <protection locked="0"/>
    </xf>
    <xf numFmtId="164" fontId="38" fillId="6" borderId="25" xfId="0" applyNumberFormat="1" applyFont="1" applyFill="1" applyBorder="1" applyAlignment="1" applyProtection="1">
      <alignment horizontal="right"/>
    </xf>
    <xf numFmtId="164" fontId="38" fillId="6" borderId="24" xfId="0" applyNumberFormat="1" applyFont="1" applyFill="1" applyBorder="1" applyAlignment="1" applyProtection="1">
      <alignment horizontal="right"/>
    </xf>
    <xf numFmtId="0" fontId="38" fillId="0" borderId="23" xfId="0" applyFont="1" applyFill="1" applyBorder="1" applyProtection="1"/>
    <xf numFmtId="0" fontId="39" fillId="5" borderId="5" xfId="0" applyFont="1" applyFill="1" applyBorder="1" applyAlignment="1" applyProtection="1">
      <alignment horizontal="center" vertical="center"/>
    </xf>
    <xf numFmtId="0" fontId="39" fillId="5" borderId="19" xfId="0" applyFont="1" applyFill="1" applyBorder="1" applyAlignment="1" applyProtection="1">
      <alignment horizontal="center" vertical="center" wrapText="1"/>
    </xf>
    <xf numFmtId="164" fontId="6" fillId="0" borderId="30" xfId="0" applyNumberFormat="1" applyFont="1" applyFill="1" applyBorder="1" applyAlignment="1" applyProtection="1">
      <alignment horizontal="right"/>
      <protection locked="0"/>
    </xf>
    <xf numFmtId="164" fontId="3" fillId="0" borderId="28" xfId="0" applyNumberFormat="1" applyFont="1" applyFill="1" applyBorder="1" applyAlignment="1" applyProtection="1">
      <alignment horizontal="right"/>
    </xf>
    <xf numFmtId="164" fontId="48" fillId="0" borderId="30" xfId="0" applyNumberFormat="1" applyFont="1" applyFill="1" applyBorder="1" applyAlignment="1" applyProtection="1">
      <alignment horizontal="right"/>
      <protection locked="0"/>
    </xf>
    <xf numFmtId="164" fontId="0" fillId="0" borderId="62" xfId="0" applyNumberFormat="1" applyFont="1" applyBorder="1" applyProtection="1">
      <protection locked="0"/>
    </xf>
    <xf numFmtId="164" fontId="0" fillId="14" borderId="48" xfId="0" applyNumberFormat="1" applyFont="1" applyFill="1" applyBorder="1" applyProtection="1">
      <protection locked="0"/>
    </xf>
    <xf numFmtId="164" fontId="0" fillId="0" borderId="63" xfId="0" applyNumberFormat="1" applyFont="1" applyFill="1" applyBorder="1" applyProtection="1">
      <protection locked="0"/>
    </xf>
    <xf numFmtId="164" fontId="0" fillId="0" borderId="63" xfId="0" applyNumberFormat="1" applyFont="1" applyBorder="1" applyProtection="1">
      <protection locked="0"/>
    </xf>
    <xf numFmtId="164" fontId="0" fillId="14" borderId="51" xfId="0" applyNumberFormat="1" applyFont="1" applyFill="1" applyBorder="1" applyProtection="1">
      <protection locked="0"/>
    </xf>
    <xf numFmtId="164" fontId="0" fillId="0" borderId="56" xfId="0" applyNumberFormat="1" applyFont="1" applyBorder="1" applyProtection="1">
      <protection locked="0"/>
    </xf>
    <xf numFmtId="164" fontId="0" fillId="14" borderId="24" xfId="0" applyNumberFormat="1" applyFont="1" applyFill="1" applyBorder="1" applyAlignment="1" applyProtection="1">
      <alignment horizontal="right"/>
    </xf>
    <xf numFmtId="164" fontId="0" fillId="14" borderId="25" xfId="0" applyNumberFormat="1" applyFont="1" applyFill="1" applyBorder="1" applyAlignment="1" applyProtection="1">
      <alignment horizontal="right"/>
    </xf>
    <xf numFmtId="164" fontId="0" fillId="14" borderId="25" xfId="0" applyNumberFormat="1" applyFont="1" applyFill="1" applyBorder="1" applyAlignment="1" applyProtection="1">
      <alignment horizontal="right"/>
      <protection locked="0"/>
    </xf>
    <xf numFmtId="164" fontId="0" fillId="14" borderId="26" xfId="0" applyNumberFormat="1" applyFont="1" applyFill="1" applyBorder="1" applyAlignment="1" applyProtection="1">
      <alignment horizontal="right"/>
      <protection locked="0"/>
    </xf>
    <xf numFmtId="164" fontId="0" fillId="14" borderId="27" xfId="0" applyNumberFormat="1" applyFont="1" applyFill="1" applyBorder="1" applyAlignment="1" applyProtection="1">
      <alignment horizontal="right"/>
      <protection locked="0"/>
    </xf>
    <xf numFmtId="164" fontId="0" fillId="14" borderId="27" xfId="0" applyNumberFormat="1" applyFont="1" applyFill="1" applyBorder="1" applyAlignment="1" applyProtection="1">
      <alignment horizontal="right"/>
    </xf>
    <xf numFmtId="10" fontId="6" fillId="14" borderId="27" xfId="0" applyNumberFormat="1" applyFont="1" applyFill="1" applyBorder="1" applyProtection="1"/>
    <xf numFmtId="0" fontId="0" fillId="14" borderId="0" xfId="0" applyFill="1"/>
    <xf numFmtId="164" fontId="0" fillId="14" borderId="28" xfId="0" applyNumberFormat="1" applyFont="1" applyFill="1" applyBorder="1" applyAlignment="1" applyProtection="1">
      <alignment horizontal="right"/>
      <protection locked="0"/>
    </xf>
    <xf numFmtId="164" fontId="0" fillId="14" borderId="30" xfId="0" applyNumberFormat="1" applyFont="1" applyFill="1" applyBorder="1" applyAlignment="1" applyProtection="1">
      <alignment horizontal="right"/>
    </xf>
    <xf numFmtId="164" fontId="0" fillId="14" borderId="31" xfId="0" applyNumberFormat="1" applyFont="1" applyFill="1" applyBorder="1" applyAlignment="1" applyProtection="1">
      <alignment horizontal="right"/>
      <protection locked="0"/>
    </xf>
    <xf numFmtId="164" fontId="3" fillId="14" borderId="28" xfId="0" applyNumberFormat="1" applyFont="1" applyFill="1" applyBorder="1" applyAlignment="1" applyProtection="1">
      <alignment horizontal="right"/>
      <protection locked="0"/>
    </xf>
    <xf numFmtId="164" fontId="3" fillId="14" borderId="30" xfId="0" applyNumberFormat="1" applyFont="1" applyFill="1" applyBorder="1" applyAlignment="1" applyProtection="1">
      <alignment horizontal="right"/>
    </xf>
    <xf numFmtId="164" fontId="0" fillId="14" borderId="32" xfId="0" applyNumberFormat="1" applyFont="1" applyFill="1" applyBorder="1" applyAlignment="1" applyProtection="1">
      <alignment horizontal="right"/>
      <protection locked="0"/>
    </xf>
    <xf numFmtId="164" fontId="0" fillId="14" borderId="28" xfId="0" applyNumberFormat="1" applyFont="1" applyFill="1" applyBorder="1" applyAlignment="1" applyProtection="1">
      <alignment horizontal="right"/>
    </xf>
    <xf numFmtId="164" fontId="3" fillId="14" borderId="30" xfId="0" applyNumberFormat="1" applyFont="1" applyFill="1" applyBorder="1" applyAlignment="1" applyProtection="1">
      <alignment horizontal="right"/>
      <protection locked="0"/>
    </xf>
    <xf numFmtId="164" fontId="3" fillId="14" borderId="28" xfId="0" applyNumberFormat="1" applyFont="1" applyFill="1" applyBorder="1" applyAlignment="1" applyProtection="1">
      <alignment horizontal="right"/>
    </xf>
    <xf numFmtId="164" fontId="0" fillId="14" borderId="30" xfId="0" applyNumberFormat="1" applyFont="1" applyFill="1" applyBorder="1" applyAlignment="1" applyProtection="1">
      <alignment horizontal="right"/>
      <protection locked="0"/>
    </xf>
    <xf numFmtId="164" fontId="0" fillId="14" borderId="35" xfId="0" applyNumberFormat="1" applyFont="1" applyFill="1" applyBorder="1" applyAlignment="1" applyProtection="1">
      <alignment horizontal="right"/>
    </xf>
    <xf numFmtId="164" fontId="0" fillId="14" borderId="36" xfId="0" applyNumberFormat="1" applyFont="1" applyFill="1" applyBorder="1" applyAlignment="1" applyProtection="1">
      <alignment horizontal="right"/>
    </xf>
    <xf numFmtId="164" fontId="0" fillId="14" borderId="36" xfId="0" applyNumberFormat="1" applyFont="1" applyFill="1" applyBorder="1" applyAlignment="1" applyProtection="1">
      <alignment horizontal="right"/>
      <protection locked="0"/>
    </xf>
    <xf numFmtId="164" fontId="0" fillId="14" borderId="37" xfId="0" applyNumberFormat="1" applyFont="1" applyFill="1" applyBorder="1" applyAlignment="1" applyProtection="1">
      <alignment horizontal="right"/>
      <protection locked="0"/>
    </xf>
    <xf numFmtId="164" fontId="0" fillId="14" borderId="38" xfId="0" applyNumberFormat="1" applyFont="1" applyFill="1" applyBorder="1" applyAlignment="1" applyProtection="1">
      <alignment horizontal="right"/>
      <protection locked="0"/>
    </xf>
    <xf numFmtId="164" fontId="0" fillId="14" borderId="12" xfId="0" applyNumberFormat="1" applyFont="1" applyFill="1" applyBorder="1" applyAlignment="1" applyProtection="1">
      <alignment horizontal="right"/>
    </xf>
    <xf numFmtId="10" fontId="6" fillId="14" borderId="12" xfId="0" applyNumberFormat="1" applyFont="1" applyFill="1" applyBorder="1" applyProtection="1"/>
    <xf numFmtId="164" fontId="4" fillId="14" borderId="1" xfId="0" applyNumberFormat="1" applyFont="1" applyFill="1" applyBorder="1" applyAlignment="1" applyProtection="1">
      <alignment horizontal="right"/>
    </xf>
    <xf numFmtId="164" fontId="4" fillId="14" borderId="10" xfId="0" applyNumberFormat="1" applyFont="1" applyFill="1" applyBorder="1" applyAlignment="1" applyProtection="1">
      <alignment horizontal="right"/>
    </xf>
    <xf numFmtId="164" fontId="4" fillId="14" borderId="11" xfId="0" applyNumberFormat="1" applyFont="1" applyFill="1" applyBorder="1" applyAlignment="1" applyProtection="1">
      <alignment horizontal="right"/>
    </xf>
    <xf numFmtId="164" fontId="4" fillId="14" borderId="6" xfId="0" applyNumberFormat="1" applyFont="1" applyFill="1" applyBorder="1" applyAlignment="1" applyProtection="1">
      <alignment horizontal="right"/>
    </xf>
    <xf numFmtId="10" fontId="6" fillId="14" borderId="39" xfId="0" applyNumberFormat="1" applyFont="1" applyFill="1" applyBorder="1" applyProtection="1"/>
    <xf numFmtId="0" fontId="13" fillId="14" borderId="19" xfId="0" applyFont="1" applyFill="1" applyBorder="1" applyAlignment="1" applyProtection="1">
      <alignment horizontal="center"/>
    </xf>
    <xf numFmtId="0" fontId="13" fillId="14" borderId="4" xfId="0" applyFont="1" applyFill="1" applyBorder="1" applyAlignment="1" applyProtection="1">
      <alignment horizontal="center"/>
    </xf>
    <xf numFmtId="0" fontId="13" fillId="14" borderId="43" xfId="0" applyFont="1" applyFill="1" applyBorder="1" applyAlignment="1" applyProtection="1">
      <alignment horizontal="center"/>
    </xf>
    <xf numFmtId="164" fontId="0" fillId="14" borderId="22" xfId="0" applyNumberFormat="1" applyFont="1" applyFill="1" applyBorder="1" applyProtection="1">
      <protection locked="0"/>
    </xf>
    <xf numFmtId="164" fontId="0" fillId="14" borderId="45" xfId="0" applyNumberFormat="1" applyFont="1" applyFill="1" applyBorder="1" applyProtection="1">
      <protection locked="0"/>
    </xf>
    <xf numFmtId="164" fontId="0" fillId="14" borderId="46" xfId="0" applyNumberFormat="1" applyFont="1" applyFill="1" applyBorder="1" applyProtection="1">
      <protection locked="0"/>
    </xf>
    <xf numFmtId="164" fontId="0" fillId="14" borderId="47" xfId="0" applyNumberFormat="1" applyFont="1" applyFill="1" applyBorder="1" applyAlignment="1" applyProtection="1">
      <alignment horizontal="right"/>
    </xf>
    <xf numFmtId="164" fontId="0" fillId="14" borderId="48" xfId="0" applyNumberFormat="1" applyFill="1" applyBorder="1" applyProtection="1">
      <protection locked="0"/>
    </xf>
    <xf numFmtId="164" fontId="0" fillId="14" borderId="28" xfId="0" applyNumberFormat="1" applyFont="1" applyFill="1" applyBorder="1" applyProtection="1">
      <protection locked="0"/>
    </xf>
    <xf numFmtId="164" fontId="0" fillId="14" borderId="49" xfId="0" applyNumberFormat="1" applyFont="1" applyFill="1" applyBorder="1" applyProtection="1">
      <protection locked="0"/>
    </xf>
    <xf numFmtId="168" fontId="0" fillId="0" borderId="28" xfId="0" applyNumberFormat="1" applyBorder="1" applyProtection="1">
      <protection locked="0"/>
    </xf>
    <xf numFmtId="0" fontId="0" fillId="14" borderId="28" xfId="0" applyFont="1" applyFill="1" applyBorder="1" applyProtection="1">
      <protection locked="0"/>
    </xf>
    <xf numFmtId="164" fontId="0" fillId="14" borderId="51" xfId="0" applyNumberFormat="1" applyFill="1" applyBorder="1" applyProtection="1">
      <protection locked="0"/>
    </xf>
    <xf numFmtId="164" fontId="0" fillId="14" borderId="35" xfId="0" applyNumberFormat="1" applyFont="1" applyFill="1" applyBorder="1" applyProtection="1">
      <protection locked="0"/>
    </xf>
    <xf numFmtId="164" fontId="0" fillId="14" borderId="52" xfId="0" applyNumberFormat="1" applyFont="1" applyFill="1" applyBorder="1" applyProtection="1">
      <protection locked="0"/>
    </xf>
    <xf numFmtId="164" fontId="4" fillId="14" borderId="19" xfId="0" applyNumberFormat="1" applyFont="1" applyFill="1" applyBorder="1" applyProtection="1"/>
    <xf numFmtId="164" fontId="4" fillId="14" borderId="16" xfId="0" applyNumberFormat="1" applyFont="1" applyFill="1" applyBorder="1" applyProtection="1"/>
    <xf numFmtId="164" fontId="4" fillId="14" borderId="39" xfId="0" applyNumberFormat="1" applyFont="1" applyFill="1" applyBorder="1" applyProtection="1"/>
    <xf numFmtId="165" fontId="7" fillId="14" borderId="53" xfId="0" applyNumberFormat="1" applyFont="1" applyFill="1" applyBorder="1" applyAlignment="1" applyProtection="1"/>
    <xf numFmtId="165" fontId="14" fillId="14" borderId="53" xfId="0" applyNumberFormat="1" applyFont="1" applyFill="1" applyBorder="1" applyAlignment="1" applyProtection="1"/>
    <xf numFmtId="165" fontId="14" fillId="14" borderId="6" xfId="0" applyNumberFormat="1" applyFont="1" applyFill="1" applyBorder="1" applyAlignment="1" applyProtection="1"/>
    <xf numFmtId="10" fontId="2" fillId="14" borderId="27" xfId="0" applyNumberFormat="1" applyFont="1" applyFill="1" applyBorder="1" applyProtection="1"/>
    <xf numFmtId="164" fontId="16" fillId="14" borderId="19" xfId="0" applyNumberFormat="1" applyFont="1" applyFill="1" applyBorder="1" applyAlignment="1" applyProtection="1">
      <alignment horizontal="center"/>
    </xf>
    <xf numFmtId="164" fontId="16" fillId="14" borderId="4" xfId="0" applyNumberFormat="1" applyFont="1" applyFill="1" applyBorder="1" applyProtection="1"/>
    <xf numFmtId="0" fontId="15" fillId="14" borderId="4" xfId="0" applyFont="1" applyFill="1" applyBorder="1" applyProtection="1"/>
    <xf numFmtId="164" fontId="16" fillId="14" borderId="5" xfId="0" applyNumberFormat="1" applyFont="1" applyFill="1" applyBorder="1" applyProtection="1"/>
    <xf numFmtId="165" fontId="15" fillId="14" borderId="39" xfId="0" applyNumberFormat="1" applyFont="1" applyFill="1" applyBorder="1" applyProtection="1"/>
    <xf numFmtId="0" fontId="0" fillId="14" borderId="0" xfId="0" applyFill="1" applyBorder="1"/>
    <xf numFmtId="164" fontId="4" fillId="14" borderId="19" xfId="0" applyNumberFormat="1" applyFont="1" applyFill="1" applyBorder="1" applyProtection="1">
      <protection locked="0"/>
    </xf>
    <xf numFmtId="164" fontId="4" fillId="14" borderId="4" xfId="0" applyNumberFormat="1" applyFont="1" applyFill="1" applyBorder="1" applyProtection="1"/>
    <xf numFmtId="164" fontId="4" fillId="14" borderId="5" xfId="0" applyNumberFormat="1" applyFont="1" applyFill="1" applyBorder="1" applyProtection="1"/>
    <xf numFmtId="164" fontId="0" fillId="2" borderId="0" xfId="0" applyNumberFormat="1" applyFill="1"/>
    <xf numFmtId="164" fontId="0" fillId="6" borderId="28" xfId="0" applyNumberFormat="1" applyFill="1" applyBorder="1" applyAlignment="1" applyProtection="1">
      <alignment horizontal="right"/>
    </xf>
    <xf numFmtId="164" fontId="0" fillId="6" borderId="36" xfId="0" applyNumberFormat="1" applyFill="1" applyBorder="1" applyAlignment="1" applyProtection="1">
      <alignment horizontal="righ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3" borderId="40" xfId="0" applyFont="1" applyFill="1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64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164" fontId="6" fillId="6" borderId="24" xfId="0" applyNumberFormat="1" applyFont="1" applyFill="1" applyBorder="1" applyAlignment="1">
      <alignment horizontal="right"/>
    </xf>
    <xf numFmtId="164" fontId="6" fillId="6" borderId="25" xfId="0" applyNumberFormat="1" applyFont="1" applyFill="1" applyBorder="1" applyAlignment="1">
      <alignment horizontal="right"/>
    </xf>
    <xf numFmtId="164" fontId="6" fillId="0" borderId="25" xfId="0" applyNumberFormat="1" applyFont="1" applyBorder="1" applyAlignment="1" applyProtection="1">
      <alignment horizontal="right"/>
      <protection locked="0"/>
    </xf>
    <xf numFmtId="164" fontId="6" fillId="0" borderId="26" xfId="0" applyNumberFormat="1" applyFont="1" applyBorder="1" applyAlignment="1" applyProtection="1">
      <alignment horizontal="right"/>
      <protection locked="0"/>
    </xf>
    <xf numFmtId="164" fontId="6" fillId="14" borderId="58" xfId="0" applyNumberFormat="1" applyFont="1" applyFill="1" applyBorder="1" applyAlignment="1" applyProtection="1">
      <alignment horizontal="right"/>
      <protection locked="0"/>
    </xf>
    <xf numFmtId="164" fontId="6" fillId="14" borderId="65" xfId="0" applyNumberFormat="1" applyFont="1" applyFill="1" applyBorder="1" applyAlignment="1" applyProtection="1">
      <alignment horizontal="right"/>
      <protection locked="0"/>
    </xf>
    <xf numFmtId="164" fontId="6" fillId="0" borderId="27" xfId="0" applyNumberFormat="1" applyFont="1" applyBorder="1" applyAlignment="1" applyProtection="1">
      <alignment horizontal="right"/>
      <protection locked="0"/>
    </xf>
    <xf numFmtId="164" fontId="6" fillId="0" borderId="27" xfId="0" applyNumberFormat="1" applyFont="1" applyBorder="1" applyAlignment="1">
      <alignment horizontal="right"/>
    </xf>
    <xf numFmtId="164" fontId="6" fillId="7" borderId="28" xfId="0" applyNumberFormat="1" applyFont="1" applyFill="1" applyBorder="1" applyAlignment="1" applyProtection="1">
      <alignment horizontal="right"/>
      <protection locked="0"/>
    </xf>
    <xf numFmtId="164" fontId="6" fillId="6" borderId="30" xfId="0" applyNumberFormat="1" applyFont="1" applyFill="1" applyBorder="1" applyAlignment="1">
      <alignment horizontal="right"/>
    </xf>
    <xf numFmtId="164" fontId="6" fillId="8" borderId="27" xfId="0" applyNumberFormat="1" applyFont="1" applyFill="1" applyBorder="1" applyAlignment="1" applyProtection="1">
      <alignment horizontal="right"/>
      <protection locked="0"/>
    </xf>
    <xf numFmtId="164" fontId="6" fillId="0" borderId="31" xfId="0" applyNumberFormat="1" applyFont="1" applyBorder="1" applyAlignment="1" applyProtection="1">
      <alignment horizontal="right"/>
      <protection locked="0"/>
    </xf>
    <xf numFmtId="164" fontId="6" fillId="28" borderId="28" xfId="0" applyNumberFormat="1" applyFont="1" applyFill="1" applyBorder="1" applyAlignment="1" applyProtection="1">
      <alignment horizontal="right"/>
      <protection locked="0"/>
    </xf>
    <xf numFmtId="164" fontId="6" fillId="9" borderId="28" xfId="0" applyNumberFormat="1" applyFont="1" applyFill="1" applyBorder="1" applyAlignment="1" applyProtection="1">
      <alignment horizontal="right"/>
      <protection locked="0"/>
    </xf>
    <xf numFmtId="164" fontId="6" fillId="8" borderId="32" xfId="0" applyNumberFormat="1" applyFont="1" applyFill="1" applyBorder="1" applyAlignment="1" applyProtection="1">
      <alignment horizontal="right"/>
      <protection locked="0"/>
    </xf>
    <xf numFmtId="164" fontId="6" fillId="6" borderId="28" xfId="0" applyNumberFormat="1" applyFont="1" applyFill="1" applyBorder="1" applyAlignment="1">
      <alignment horizontal="right"/>
    </xf>
    <xf numFmtId="164" fontId="6" fillId="0" borderId="30" xfId="0" applyNumberFormat="1" applyFont="1" applyBorder="1" applyAlignment="1" applyProtection="1">
      <alignment horizontal="right"/>
      <protection locked="0"/>
    </xf>
    <xf numFmtId="164" fontId="6" fillId="14" borderId="63" xfId="0" applyNumberFormat="1" applyFont="1" applyFill="1" applyBorder="1" applyAlignment="1" applyProtection="1">
      <alignment horizontal="right"/>
      <protection locked="0"/>
    </xf>
    <xf numFmtId="164" fontId="6" fillId="0" borderId="32" xfId="0" applyNumberFormat="1" applyFont="1" applyBorder="1" applyAlignment="1" applyProtection="1">
      <alignment horizontal="right"/>
      <protection locked="0"/>
    </xf>
    <xf numFmtId="164" fontId="6" fillId="6" borderId="35" xfId="0" applyNumberFormat="1" applyFont="1" applyFill="1" applyBorder="1" applyAlignment="1">
      <alignment horizontal="right"/>
    </xf>
    <xf numFmtId="164" fontId="6" fillId="6" borderId="36" xfId="0" applyNumberFormat="1" applyFont="1" applyFill="1" applyBorder="1" applyAlignment="1">
      <alignment horizontal="right"/>
    </xf>
    <xf numFmtId="164" fontId="6" fillId="0" borderId="36" xfId="0" applyNumberFormat="1" applyFont="1" applyBorder="1" applyAlignment="1" applyProtection="1">
      <alignment horizontal="right"/>
      <protection locked="0"/>
    </xf>
    <xf numFmtId="164" fontId="6" fillId="14" borderId="56" xfId="0" applyNumberFormat="1" applyFont="1" applyFill="1" applyBorder="1" applyAlignment="1" applyProtection="1">
      <alignment horizontal="right"/>
      <protection locked="0"/>
    </xf>
    <xf numFmtId="164" fontId="6" fillId="0" borderId="38" xfId="0" applyNumberFormat="1" applyFont="1" applyBorder="1" applyAlignment="1" applyProtection="1">
      <alignment horizontal="right"/>
      <protection locked="0"/>
    </xf>
    <xf numFmtId="164" fontId="6" fillId="0" borderId="12" xfId="0" applyNumberFormat="1" applyFont="1" applyBorder="1" applyAlignment="1">
      <alignment horizontal="right"/>
    </xf>
    <xf numFmtId="164" fontId="6" fillId="0" borderId="37" xfId="0" applyNumberFormat="1" applyFont="1" applyBorder="1" applyAlignment="1" applyProtection="1">
      <alignment horizontal="right"/>
      <protection locked="0"/>
    </xf>
    <xf numFmtId="164" fontId="10" fillId="4" borderId="1" xfId="0" applyNumberFormat="1" applyFont="1" applyFill="1" applyBorder="1" applyAlignment="1">
      <alignment horizontal="right"/>
    </xf>
    <xf numFmtId="164" fontId="10" fillId="4" borderId="10" xfId="0" applyNumberFormat="1" applyFont="1" applyFill="1" applyBorder="1" applyAlignment="1">
      <alignment horizontal="right"/>
    </xf>
    <xf numFmtId="164" fontId="10" fillId="4" borderId="11" xfId="0" applyNumberFormat="1" applyFon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164" fontId="10" fillId="4" borderId="16" xfId="0" applyNumberFormat="1" applyFont="1" applyFill="1" applyBorder="1" applyAlignment="1">
      <alignment horizontal="right"/>
    </xf>
    <xf numFmtId="164" fontId="10" fillId="4" borderId="6" xfId="0" applyNumberFormat="1" applyFont="1" applyFill="1" applyBorder="1" applyAlignment="1">
      <alignment horizontal="right"/>
    </xf>
    <xf numFmtId="0" fontId="10" fillId="14" borderId="40" xfId="0" applyFont="1" applyFill="1" applyBorder="1" applyAlignment="1">
      <alignment horizontal="center" vertical="center" wrapText="1"/>
    </xf>
    <xf numFmtId="0" fontId="50" fillId="0" borderId="19" xfId="0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50" fillId="0" borderId="43" xfId="0" applyFont="1" applyBorder="1" applyAlignment="1">
      <alignment horizontal="center"/>
    </xf>
    <xf numFmtId="164" fontId="6" fillId="0" borderId="64" xfId="0" applyNumberFormat="1" applyFont="1" applyBorder="1" applyAlignment="1">
      <alignment horizontal="center" vertical="center"/>
    </xf>
    <xf numFmtId="164" fontId="6" fillId="0" borderId="44" xfId="0" applyNumberFormat="1" applyFont="1" applyBorder="1" applyAlignment="1">
      <alignment horizontal="center" vertical="center"/>
    </xf>
    <xf numFmtId="164" fontId="6" fillId="0" borderId="45" xfId="0" applyNumberFormat="1" applyFont="1" applyBorder="1" applyProtection="1">
      <protection locked="0"/>
    </xf>
    <xf numFmtId="164" fontId="6" fillId="0" borderId="62" xfId="0" applyNumberFormat="1" applyFont="1" applyBorder="1" applyProtection="1">
      <protection locked="0"/>
    </xf>
    <xf numFmtId="164" fontId="6" fillId="14" borderId="62" xfId="0" applyNumberFormat="1" applyFont="1" applyFill="1" applyBorder="1" applyProtection="1">
      <protection locked="0"/>
    </xf>
    <xf numFmtId="164" fontId="6" fillId="14" borderId="46" xfId="0" applyNumberFormat="1" applyFont="1" applyFill="1" applyBorder="1" applyProtection="1">
      <protection locked="0"/>
    </xf>
    <xf numFmtId="164" fontId="6" fillId="0" borderId="46" xfId="0" applyNumberFormat="1" applyFont="1" applyBorder="1" applyProtection="1">
      <protection locked="0"/>
    </xf>
    <xf numFmtId="164" fontId="6" fillId="0" borderId="47" xfId="0" applyNumberFormat="1" applyFont="1" applyBorder="1" applyAlignment="1">
      <alignment horizontal="right"/>
    </xf>
    <xf numFmtId="164" fontId="6" fillId="0" borderId="22" xfId="0" applyNumberFormat="1" applyFont="1" applyBorder="1" applyProtection="1">
      <protection locked="0"/>
    </xf>
    <xf numFmtId="164" fontId="6" fillId="0" borderId="48" xfId="0" applyNumberFormat="1" applyFont="1" applyBorder="1" applyProtection="1">
      <protection locked="0"/>
    </xf>
    <xf numFmtId="164" fontId="6" fillId="0" borderId="63" xfId="0" applyNumberFormat="1" applyFont="1" applyBorder="1" applyProtection="1">
      <protection locked="0"/>
    </xf>
    <xf numFmtId="164" fontId="6" fillId="14" borderId="63" xfId="0" applyNumberFormat="1" applyFont="1" applyFill="1" applyBorder="1" applyProtection="1">
      <protection locked="0"/>
    </xf>
    <xf numFmtId="164" fontId="6" fillId="14" borderId="49" xfId="0" applyNumberFormat="1" applyFont="1" applyFill="1" applyBorder="1" applyProtection="1">
      <protection locked="0"/>
    </xf>
    <xf numFmtId="164" fontId="6" fillId="0" borderId="49" xfId="0" applyNumberFormat="1" applyFont="1" applyBorder="1" applyProtection="1">
      <protection locked="0"/>
    </xf>
    <xf numFmtId="164" fontId="6" fillId="0" borderId="28" xfId="0" applyNumberFormat="1" applyFont="1" applyBorder="1" applyProtection="1">
      <protection locked="0"/>
    </xf>
    <xf numFmtId="164" fontId="6" fillId="28" borderId="22" xfId="0" applyNumberFormat="1" applyFont="1" applyFill="1" applyBorder="1" applyProtection="1">
      <protection locked="0"/>
    </xf>
    <xf numFmtId="164" fontId="6" fillId="28" borderId="28" xfId="0" applyNumberFormat="1" applyFont="1" applyFill="1" applyBorder="1" applyProtection="1">
      <protection locked="0"/>
    </xf>
    <xf numFmtId="0" fontId="6" fillId="0" borderId="48" xfId="0" applyFont="1" applyBorder="1" applyProtection="1">
      <protection locked="0"/>
    </xf>
    <xf numFmtId="0" fontId="6" fillId="0" borderId="28" xfId="0" applyFont="1" applyBorder="1" applyProtection="1">
      <protection locked="0"/>
    </xf>
    <xf numFmtId="164" fontId="6" fillId="0" borderId="51" xfId="0" applyNumberFormat="1" applyFont="1" applyBorder="1" applyProtection="1">
      <protection locked="0"/>
    </xf>
    <xf numFmtId="164" fontId="6" fillId="14" borderId="56" xfId="0" applyNumberFormat="1" applyFont="1" applyFill="1" applyBorder="1" applyProtection="1">
      <protection locked="0"/>
    </xf>
    <xf numFmtId="164" fontId="6" fillId="14" borderId="52" xfId="0" applyNumberFormat="1" applyFont="1" applyFill="1" applyBorder="1" applyProtection="1">
      <protection locked="0"/>
    </xf>
    <xf numFmtId="164" fontId="6" fillId="0" borderId="52" xfId="0" applyNumberFormat="1" applyFont="1" applyBorder="1" applyProtection="1">
      <protection locked="0"/>
    </xf>
    <xf numFmtId="164" fontId="6" fillId="0" borderId="35" xfId="0" applyNumberFormat="1" applyFont="1" applyBorder="1" applyProtection="1">
      <protection locked="0"/>
    </xf>
    <xf numFmtId="164" fontId="10" fillId="9" borderId="19" xfId="0" applyNumberFormat="1" applyFont="1" applyFill="1" applyBorder="1"/>
    <xf numFmtId="164" fontId="6" fillId="9" borderId="62" xfId="0" applyNumberFormat="1" applyFont="1" applyFill="1" applyBorder="1" applyProtection="1">
      <protection locked="0"/>
    </xf>
    <xf numFmtId="164" fontId="6" fillId="9" borderId="40" xfId="0" applyNumberFormat="1" applyFont="1" applyFill="1" applyBorder="1" applyProtection="1">
      <protection locked="0"/>
    </xf>
    <xf numFmtId="164" fontId="6" fillId="9" borderId="42" xfId="0" applyNumberFormat="1" applyFont="1" applyFill="1" applyBorder="1" applyProtection="1">
      <protection locked="0"/>
    </xf>
    <xf numFmtId="164" fontId="10" fillId="9" borderId="16" xfId="0" applyNumberFormat="1" applyFont="1" applyFill="1" applyBorder="1"/>
    <xf numFmtId="164" fontId="10" fillId="9" borderId="39" xfId="0" applyNumberFormat="1" applyFont="1" applyFill="1" applyBorder="1"/>
    <xf numFmtId="164" fontId="6" fillId="9" borderId="46" xfId="0" applyNumberFormat="1" applyFont="1" applyFill="1" applyBorder="1" applyProtection="1">
      <protection locked="0"/>
    </xf>
    <xf numFmtId="165" fontId="14" fillId="11" borderId="56" xfId="0" applyNumberFormat="1" applyFont="1" applyFill="1" applyBorder="1"/>
    <xf numFmtId="0" fontId="15" fillId="5" borderId="43" xfId="0" applyFont="1" applyFill="1" applyBorder="1"/>
    <xf numFmtId="0" fontId="15" fillId="5" borderId="15" xfId="0" applyFont="1" applyFill="1" applyBorder="1"/>
    <xf numFmtId="164" fontId="10" fillId="0" borderId="17" xfId="0" applyNumberFormat="1" applyFont="1" applyBorder="1" applyProtection="1">
      <protection locked="0"/>
    </xf>
    <xf numFmtId="164" fontId="10" fillId="0" borderId="55" xfId="0" applyNumberFormat="1" applyFont="1" applyBorder="1" applyProtection="1">
      <protection locked="0"/>
    </xf>
    <xf numFmtId="164" fontId="10" fillId="0" borderId="20" xfId="0" applyNumberFormat="1" applyFont="1" applyBorder="1" applyProtection="1">
      <protection locked="0"/>
    </xf>
    <xf numFmtId="164" fontId="10" fillId="2" borderId="0" xfId="0" applyNumberFormat="1" applyFont="1" applyFill="1"/>
    <xf numFmtId="164" fontId="51" fillId="2" borderId="0" xfId="0" applyNumberFormat="1" applyFont="1" applyFill="1" applyAlignment="1">
      <alignment horizontal="right"/>
    </xf>
    <xf numFmtId="164" fontId="10" fillId="2" borderId="0" xfId="0" applyNumberFormat="1" applyFont="1" applyFill="1" applyProtection="1">
      <protection locked="0"/>
    </xf>
    <xf numFmtId="164" fontId="52" fillId="5" borderId="19" xfId="0" applyNumberFormat="1" applyFont="1" applyFill="1" applyBorder="1" applyAlignment="1" applyProtection="1">
      <alignment horizontal="center" wrapText="1"/>
      <protection locked="0"/>
    </xf>
    <xf numFmtId="164" fontId="52" fillId="5" borderId="5" xfId="0" applyNumberFormat="1" applyFont="1" applyFill="1" applyBorder="1" applyAlignment="1">
      <alignment horizontal="center" wrapText="1"/>
    </xf>
    <xf numFmtId="164" fontId="52" fillId="2" borderId="0" xfId="0" applyNumberFormat="1" applyFont="1" applyFill="1" applyAlignment="1">
      <alignment horizontal="center" vertical="center" wrapText="1"/>
    </xf>
    <xf numFmtId="164" fontId="10" fillId="0" borderId="44" xfId="0" applyNumberFormat="1" applyFont="1" applyBorder="1" applyProtection="1">
      <protection locked="0"/>
    </xf>
    <xf numFmtId="164" fontId="10" fillId="2" borderId="0" xfId="0" applyNumberFormat="1" applyFont="1" applyFill="1" applyAlignment="1" applyProtection="1">
      <alignment horizontal="right"/>
      <protection locked="0"/>
    </xf>
    <xf numFmtId="164" fontId="10" fillId="13" borderId="30" xfId="0" applyNumberFormat="1" applyFont="1" applyFill="1" applyBorder="1" applyAlignment="1">
      <alignment horizontal="center"/>
    </xf>
    <xf numFmtId="164" fontId="10" fillId="0" borderId="30" xfId="0" applyNumberFormat="1" applyFont="1" applyBorder="1" applyAlignment="1" applyProtection="1">
      <alignment horizontal="right"/>
      <protection locked="0"/>
    </xf>
    <xf numFmtId="164" fontId="10" fillId="0" borderId="30" xfId="0" applyNumberFormat="1" applyFont="1" applyBorder="1"/>
    <xf numFmtId="164" fontId="10" fillId="0" borderId="30" xfId="0" applyNumberFormat="1" applyFont="1" applyBorder="1" applyProtection="1">
      <protection locked="0"/>
    </xf>
    <xf numFmtId="0" fontId="0" fillId="0" borderId="13" xfId="0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0" xfId="0" applyFont="1" applyProtection="1"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22" xfId="0" applyNumberFormat="1" applyFont="1" applyFill="1" applyBorder="1" applyProtection="1">
      <protection locked="0"/>
    </xf>
    <xf numFmtId="164" fontId="0" fillId="0" borderId="45" xfId="0" applyNumberFormat="1" applyFont="1" applyFill="1" applyBorder="1" applyProtection="1">
      <protection locked="0"/>
    </xf>
    <xf numFmtId="0" fontId="0" fillId="0" borderId="28" xfId="0" applyFont="1" applyFill="1" applyBorder="1" applyProtection="1">
      <protection locked="0"/>
    </xf>
    <xf numFmtId="164" fontId="0" fillId="0" borderId="35" xfId="0" applyNumberFormat="1" applyFont="1" applyFill="1" applyBorder="1" applyProtection="1">
      <protection locked="0"/>
    </xf>
    <xf numFmtId="164" fontId="0" fillId="0" borderId="51" xfId="0" applyNumberFormat="1" applyFont="1" applyFill="1" applyBorder="1" applyProtection="1">
      <protection locked="0"/>
    </xf>
    <xf numFmtId="0" fontId="4" fillId="0" borderId="13" xfId="0" applyFont="1" applyFill="1" applyBorder="1"/>
    <xf numFmtId="0" fontId="22" fillId="0" borderId="13" xfId="2" applyFont="1" applyBorder="1" applyAlignment="1" applyProtection="1">
      <alignment horizontal="left"/>
      <protection locked="0"/>
    </xf>
    <xf numFmtId="0" fontId="22" fillId="0" borderId="0" xfId="2" applyFont="1" applyBorder="1" applyAlignment="1" applyProtection="1">
      <alignment horizontal="left"/>
      <protection locked="0"/>
    </xf>
    <xf numFmtId="0" fontId="22" fillId="27" borderId="0" xfId="2" applyFont="1" applyFill="1" applyBorder="1" applyAlignment="1" applyProtection="1">
      <alignment horizontal="left"/>
      <protection locked="0"/>
    </xf>
    <xf numFmtId="0" fontId="20" fillId="0" borderId="39" xfId="2" applyFont="1" applyBorder="1" applyAlignment="1" applyProtection="1">
      <alignment horizontal="center" vertical="center"/>
    </xf>
    <xf numFmtId="0" fontId="29" fillId="0" borderId="16" xfId="2" applyFont="1" applyBorder="1" applyAlignment="1" applyProtection="1">
      <alignment horizontal="center" vertical="center"/>
    </xf>
    <xf numFmtId="0" fontId="22" fillId="26" borderId="14" xfId="2" applyFont="1" applyFill="1" applyBorder="1" applyAlignment="1" applyProtection="1">
      <alignment horizontal="left" vertical="center"/>
    </xf>
    <xf numFmtId="164" fontId="22" fillId="0" borderId="56" xfId="2" applyNumberFormat="1" applyFont="1" applyBorder="1" applyAlignment="1" applyProtection="1">
      <alignment horizontal="left"/>
      <protection locked="0"/>
    </xf>
    <xf numFmtId="0" fontId="22" fillId="0" borderId="14" xfId="2" applyFont="1" applyBorder="1" applyAlignment="1" applyProtection="1">
      <alignment horizontal="center"/>
    </xf>
    <xf numFmtId="164" fontId="20" fillId="0" borderId="5" xfId="2" applyNumberFormat="1" applyFont="1" applyBorder="1" applyAlignment="1" applyProtection="1">
      <alignment horizontal="center" vertical="center"/>
    </xf>
    <xf numFmtId="0" fontId="22" fillId="0" borderId="1" xfId="2" applyFont="1" applyBorder="1" applyAlignment="1" applyProtection="1">
      <alignment horizontal="center" wrapText="1"/>
    </xf>
    <xf numFmtId="0" fontId="22" fillId="0" borderId="2" xfId="2" applyFont="1" applyBorder="1" applyAlignment="1" applyProtection="1">
      <alignment horizontal="center" vertical="center"/>
    </xf>
    <xf numFmtId="0" fontId="22" fillId="0" borderId="39" xfId="2" applyFont="1" applyBorder="1" applyAlignment="1" applyProtection="1">
      <alignment horizontal="center" vertical="center" wrapText="1"/>
    </xf>
    <xf numFmtId="164" fontId="27" fillId="22" borderId="39" xfId="2" applyNumberFormat="1" applyFont="1" applyFill="1" applyBorder="1" applyAlignment="1" applyProtection="1">
      <alignment horizontal="center"/>
    </xf>
    <xf numFmtId="166" fontId="28" fillId="0" borderId="39" xfId="2" applyNumberFormat="1" applyFont="1" applyBorder="1" applyAlignment="1" applyProtection="1">
      <alignment horizontal="center" vertical="center" wrapText="1"/>
    </xf>
    <xf numFmtId="0" fontId="20" fillId="0" borderId="39" xfId="2" applyFont="1" applyBorder="1" applyAlignment="1" applyProtection="1">
      <alignment horizontal="center" vertical="center" wrapText="1"/>
    </xf>
    <xf numFmtId="0" fontId="20" fillId="0" borderId="19" xfId="2" applyFont="1" applyBorder="1" applyAlignment="1" applyProtection="1">
      <alignment horizontal="center"/>
    </xf>
    <xf numFmtId="0" fontId="24" fillId="0" borderId="16" xfId="2" applyFont="1" applyBorder="1" applyAlignment="1" applyProtection="1">
      <alignment horizontal="center" vertical="center"/>
    </xf>
    <xf numFmtId="166" fontId="22" fillId="0" borderId="39" xfId="2" applyNumberFormat="1" applyFont="1" applyBorder="1" applyAlignment="1" applyProtection="1">
      <alignment horizontal="center" vertical="center" wrapText="1"/>
    </xf>
    <xf numFmtId="0" fontId="22" fillId="16" borderId="40" xfId="2" applyFont="1" applyFill="1" applyBorder="1" applyAlignment="1" applyProtection="1">
      <alignment horizontal="center" vertical="center" wrapText="1"/>
    </xf>
    <xf numFmtId="0" fontId="22" fillId="17" borderId="39" xfId="2" applyFont="1" applyFill="1" applyBorder="1" applyAlignment="1" applyProtection="1">
      <alignment horizontal="center" vertical="center" wrapText="1"/>
    </xf>
    <xf numFmtId="0" fontId="21" fillId="0" borderId="0" xfId="2" applyFont="1" applyBorder="1" applyAlignment="1" applyProtection="1">
      <alignment horizontal="left"/>
      <protection locked="0"/>
    </xf>
    <xf numFmtId="0" fontId="20" fillId="0" borderId="0" xfId="2" applyFont="1" applyBorder="1" applyAlignment="1" applyProtection="1">
      <alignment horizontal="left"/>
      <protection locked="0"/>
    </xf>
    <xf numFmtId="0" fontId="22" fillId="0" borderId="19" xfId="2" applyFont="1" applyBorder="1" applyAlignment="1" applyProtection="1">
      <alignment horizontal="center" vertical="center" wrapText="1"/>
    </xf>
    <xf numFmtId="0" fontId="22" fillId="0" borderId="5" xfId="2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10" fillId="9" borderId="14" xfId="0" applyNumberFormat="1" applyFont="1" applyFill="1" applyBorder="1" applyAlignment="1">
      <alignment horizontal="center"/>
    </xf>
    <xf numFmtId="164" fontId="10" fillId="9" borderId="15" xfId="0" applyNumberFormat="1" applyFont="1" applyFill="1" applyBorder="1" applyAlignment="1">
      <alignment horizontal="center"/>
    </xf>
    <xf numFmtId="164" fontId="10" fillId="9" borderId="40" xfId="0" applyNumberFormat="1" applyFont="1" applyFill="1" applyBorder="1" applyAlignment="1">
      <alignment horizontal="center"/>
    </xf>
    <xf numFmtId="164" fontId="10" fillId="9" borderId="42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0" fontId="11" fillId="0" borderId="6" xfId="0" applyNumberFormat="1" applyFont="1" applyBorder="1" applyAlignment="1">
      <alignment horizontal="center" vertical="center" wrapText="1"/>
    </xf>
    <xf numFmtId="10" fontId="11" fillId="0" borderId="12" xfId="0" applyNumberFormat="1" applyFont="1" applyBorder="1" applyAlignment="1">
      <alignment horizontal="center" vertical="center" wrapText="1"/>
    </xf>
    <xf numFmtId="10" fontId="11" fillId="0" borderId="21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2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4" fillId="14" borderId="0" xfId="0" applyFont="1" applyFill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13" borderId="41" xfId="0" applyFont="1" applyFill="1" applyBorder="1" applyAlignment="1">
      <alignment horizontal="left" vertical="center"/>
    </xf>
    <xf numFmtId="0" fontId="4" fillId="13" borderId="54" xfId="0" applyFont="1" applyFill="1" applyBorder="1" applyAlignment="1">
      <alignment horizontal="left" vertical="center"/>
    </xf>
    <xf numFmtId="0" fontId="4" fillId="13" borderId="21" xfId="0" applyFont="1" applyFill="1" applyBorder="1" applyAlignment="1">
      <alignment horizontal="left" vertical="center"/>
    </xf>
    <xf numFmtId="164" fontId="4" fillId="0" borderId="56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64" fontId="10" fillId="9" borderId="14" xfId="0" applyNumberFormat="1" applyFont="1" applyFill="1" applyBorder="1" applyAlignment="1" applyProtection="1">
      <alignment horizontal="center"/>
    </xf>
    <xf numFmtId="164" fontId="10" fillId="9" borderId="15" xfId="0" applyNumberFormat="1" applyFont="1" applyFill="1" applyBorder="1" applyAlignment="1" applyProtection="1">
      <alignment horizontal="center"/>
    </xf>
    <xf numFmtId="164" fontId="10" fillId="9" borderId="40" xfId="0" applyNumberFormat="1" applyFont="1" applyFill="1" applyBorder="1" applyAlignment="1" applyProtection="1">
      <alignment horizontal="center"/>
    </xf>
    <xf numFmtId="164" fontId="10" fillId="9" borderId="42" xfId="0" applyNumberFormat="1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10" fontId="11" fillId="0" borderId="6" xfId="0" applyNumberFormat="1" applyFont="1" applyFill="1" applyBorder="1" applyAlignment="1" applyProtection="1">
      <alignment horizontal="center" vertical="center" wrapText="1"/>
    </xf>
    <xf numFmtId="10" fontId="11" fillId="0" borderId="12" xfId="0" applyNumberFormat="1" applyFont="1" applyFill="1" applyBorder="1" applyAlignment="1" applyProtection="1">
      <alignment horizontal="center" vertical="center" wrapText="1"/>
    </xf>
    <xf numFmtId="10" fontId="11" fillId="0" borderId="21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 wrapText="1"/>
    </xf>
    <xf numFmtId="10" fontId="4" fillId="0" borderId="12" xfId="0" applyNumberFormat="1" applyFont="1" applyBorder="1" applyAlignment="1" applyProtection="1">
      <alignment horizontal="center" vertical="center" wrapText="1"/>
    </xf>
    <xf numFmtId="10" fontId="4" fillId="0" borderId="21" xfId="0" applyNumberFormat="1" applyFont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14" borderId="0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4" fillId="13" borderId="41" xfId="0" applyFont="1" applyFill="1" applyBorder="1" applyAlignment="1" applyProtection="1">
      <alignment horizontal="left" vertical="center"/>
    </xf>
    <xf numFmtId="0" fontId="4" fillId="13" borderId="54" xfId="0" applyFont="1" applyFill="1" applyBorder="1" applyAlignment="1" applyProtection="1">
      <alignment horizontal="left" vertical="center"/>
    </xf>
    <xf numFmtId="0" fontId="4" fillId="13" borderId="21" xfId="0" applyFont="1" applyFill="1" applyBorder="1" applyAlignment="1" applyProtection="1">
      <alignment horizontal="left" vertical="center"/>
    </xf>
    <xf numFmtId="164" fontId="4" fillId="0" borderId="56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41" fillId="9" borderId="14" xfId="0" applyNumberFormat="1" applyFont="1" applyFill="1" applyBorder="1" applyAlignment="1" applyProtection="1">
      <alignment horizontal="center"/>
    </xf>
    <xf numFmtId="164" fontId="41" fillId="9" borderId="15" xfId="0" applyNumberFormat="1" applyFont="1" applyFill="1" applyBorder="1" applyAlignment="1" applyProtection="1">
      <alignment horizontal="center"/>
    </xf>
    <xf numFmtId="164" fontId="41" fillId="9" borderId="40" xfId="0" applyNumberFormat="1" applyFont="1" applyFill="1" applyBorder="1" applyAlignment="1" applyProtection="1">
      <alignment horizontal="center"/>
    </xf>
    <xf numFmtId="164" fontId="41" fillId="9" borderId="42" xfId="0" applyNumberFormat="1" applyFont="1" applyFill="1" applyBorder="1" applyAlignment="1" applyProtection="1">
      <alignment horizontal="center"/>
    </xf>
    <xf numFmtId="10" fontId="45" fillId="0" borderId="6" xfId="0" applyNumberFormat="1" applyFont="1" applyFill="1" applyBorder="1" applyAlignment="1" applyProtection="1">
      <alignment horizontal="center" vertical="center" wrapText="1"/>
    </xf>
    <xf numFmtId="10" fontId="45" fillId="0" borderId="12" xfId="0" applyNumberFormat="1" applyFont="1" applyFill="1" applyBorder="1" applyAlignment="1" applyProtection="1">
      <alignment horizontal="center" vertical="center" wrapText="1"/>
    </xf>
    <xf numFmtId="10" fontId="45" fillId="0" borderId="21" xfId="0" applyNumberFormat="1" applyFont="1" applyFill="1" applyBorder="1" applyAlignment="1" applyProtection="1">
      <alignment horizontal="center" vertical="center" wrapText="1"/>
    </xf>
    <xf numFmtId="0" fontId="39" fillId="0" borderId="14" xfId="0" applyFont="1" applyBorder="1" applyAlignment="1" applyProtection="1">
      <alignment horizontal="center"/>
    </xf>
    <xf numFmtId="0" fontId="39" fillId="0" borderId="15" xfId="0" applyFont="1" applyBorder="1" applyAlignment="1" applyProtection="1">
      <alignment horizontal="center"/>
    </xf>
    <xf numFmtId="0" fontId="39" fillId="0" borderId="42" xfId="0" applyFont="1" applyFill="1" applyBorder="1" applyAlignment="1" applyProtection="1">
      <alignment horizontal="center" vertical="center"/>
    </xf>
    <xf numFmtId="0" fontId="39" fillId="0" borderId="44" xfId="0" applyFont="1" applyFill="1" applyBorder="1" applyAlignment="1" applyProtection="1">
      <alignment horizontal="center" vertical="center"/>
    </xf>
    <xf numFmtId="164" fontId="38" fillId="0" borderId="2" xfId="0" applyNumberFormat="1" applyFont="1" applyBorder="1" applyAlignment="1" applyProtection="1">
      <alignment horizontal="center" vertical="center"/>
    </xf>
    <xf numFmtId="164" fontId="38" fillId="0" borderId="20" xfId="0" applyNumberFormat="1" applyFont="1" applyBorder="1" applyAlignment="1" applyProtection="1">
      <alignment horizontal="center" vertical="center"/>
    </xf>
    <xf numFmtId="0" fontId="38" fillId="0" borderId="6" xfId="0" applyFont="1" applyBorder="1" applyAlignment="1" applyProtection="1">
      <alignment horizontal="center" vertical="center"/>
    </xf>
    <xf numFmtId="0" fontId="38" fillId="0" borderId="21" xfId="0" applyFont="1" applyBorder="1" applyAlignment="1" applyProtection="1">
      <alignment horizontal="center" vertical="center"/>
    </xf>
    <xf numFmtId="0" fontId="39" fillId="0" borderId="13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13" borderId="41" xfId="0" applyFont="1" applyFill="1" applyBorder="1" applyAlignment="1" applyProtection="1">
      <alignment horizontal="left" vertical="center"/>
    </xf>
    <xf numFmtId="0" fontId="39" fillId="13" borderId="54" xfId="0" applyFont="1" applyFill="1" applyBorder="1" applyAlignment="1" applyProtection="1">
      <alignment horizontal="left" vertical="center"/>
    </xf>
    <xf numFmtId="0" fontId="39" fillId="13" borderId="21" xfId="0" applyFont="1" applyFill="1" applyBorder="1" applyAlignment="1" applyProtection="1">
      <alignment horizontal="left" vertical="center"/>
    </xf>
    <xf numFmtId="0" fontId="39" fillId="0" borderId="2" xfId="0" applyFont="1" applyBorder="1" applyAlignment="1" applyProtection="1">
      <alignment horizontal="center" vertical="center"/>
    </xf>
    <xf numFmtId="0" fontId="39" fillId="0" borderId="8" xfId="0" applyFont="1" applyBorder="1" applyAlignment="1" applyProtection="1">
      <alignment horizontal="center" vertical="center"/>
    </xf>
    <xf numFmtId="164" fontId="39" fillId="0" borderId="56" xfId="0" applyNumberFormat="1" applyFont="1" applyFill="1" applyBorder="1" applyAlignment="1" applyProtection="1">
      <alignment horizontal="left"/>
      <protection locked="0"/>
    </xf>
    <xf numFmtId="0" fontId="39" fillId="0" borderId="1" xfId="0" applyFont="1" applyFill="1" applyBorder="1" applyAlignment="1" applyProtection="1">
      <alignment horizontal="center" wrapText="1"/>
    </xf>
    <xf numFmtId="0" fontId="39" fillId="0" borderId="7" xfId="0" applyFont="1" applyFill="1" applyBorder="1" applyAlignment="1" applyProtection="1">
      <alignment horizontal="center" wrapText="1"/>
    </xf>
    <xf numFmtId="0" fontId="39" fillId="14" borderId="13" xfId="0" applyFont="1" applyFill="1" applyBorder="1" applyAlignment="1" applyProtection="1">
      <alignment horizontal="left"/>
      <protection locked="0"/>
    </xf>
    <xf numFmtId="0" fontId="39" fillId="14" borderId="0" xfId="0" applyFont="1" applyFill="1" applyBorder="1" applyAlignment="1" applyProtection="1">
      <alignment horizontal="left"/>
      <protection locked="0"/>
    </xf>
    <xf numFmtId="0" fontId="41" fillId="0" borderId="13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0" fillId="14" borderId="6" xfId="0" applyFont="1" applyFill="1" applyBorder="1" applyAlignment="1" applyProtection="1">
      <alignment horizontal="center" vertical="center"/>
    </xf>
    <xf numFmtId="0" fontId="0" fillId="14" borderId="21" xfId="0" applyFont="1" applyFill="1" applyBorder="1" applyAlignment="1" applyProtection="1">
      <alignment horizontal="center" vertical="center"/>
    </xf>
    <xf numFmtId="0" fontId="12" fillId="14" borderId="42" xfId="0" applyFont="1" applyFill="1" applyBorder="1" applyAlignment="1" applyProtection="1">
      <alignment horizontal="center" vertical="center"/>
    </xf>
    <xf numFmtId="0" fontId="12" fillId="14" borderId="44" xfId="0" applyFont="1" applyFill="1" applyBorder="1" applyAlignment="1" applyProtection="1">
      <alignment horizontal="center" vertical="center"/>
    </xf>
    <xf numFmtId="0" fontId="4" fillId="14" borderId="14" xfId="0" applyFont="1" applyFill="1" applyBorder="1" applyAlignment="1" applyProtection="1">
      <alignment horizontal="center"/>
    </xf>
    <xf numFmtId="0" fontId="4" fillId="14" borderId="15" xfId="0" applyFont="1" applyFill="1" applyBorder="1" applyAlignment="1" applyProtection="1">
      <alignment horizontal="center"/>
    </xf>
    <xf numFmtId="164" fontId="0" fillId="14" borderId="2" xfId="0" applyNumberFormat="1" applyFont="1" applyFill="1" applyBorder="1" applyAlignment="1" applyProtection="1">
      <alignment horizontal="center" vertical="center"/>
    </xf>
    <xf numFmtId="164" fontId="0" fillId="14" borderId="20" xfId="0" applyNumberFormat="1" applyFont="1" applyFill="1" applyBorder="1" applyAlignment="1" applyProtection="1">
      <alignment horizontal="center" vertical="center"/>
    </xf>
    <xf numFmtId="164" fontId="10" fillId="14" borderId="14" xfId="0" applyNumberFormat="1" applyFont="1" applyFill="1" applyBorder="1" applyAlignment="1" applyProtection="1">
      <alignment horizontal="center"/>
    </xf>
    <xf numFmtId="164" fontId="10" fillId="14" borderId="15" xfId="0" applyNumberFormat="1" applyFont="1" applyFill="1" applyBorder="1" applyAlignment="1" applyProtection="1">
      <alignment horizontal="center"/>
    </xf>
    <xf numFmtId="164" fontId="10" fillId="14" borderId="40" xfId="0" applyNumberFormat="1" applyFont="1" applyFill="1" applyBorder="1" applyAlignment="1" applyProtection="1">
      <alignment horizontal="center"/>
    </xf>
    <xf numFmtId="164" fontId="10" fillId="14" borderId="42" xfId="0" applyNumberFormat="1" applyFont="1" applyFill="1" applyBorder="1" applyAlignment="1" applyProtection="1">
      <alignment horizontal="center"/>
    </xf>
    <xf numFmtId="10" fontId="11" fillId="14" borderId="6" xfId="0" applyNumberFormat="1" applyFont="1" applyFill="1" applyBorder="1" applyAlignment="1" applyProtection="1">
      <alignment horizontal="center" vertical="center" wrapText="1"/>
    </xf>
    <xf numFmtId="10" fontId="11" fillId="14" borderId="12" xfId="0" applyNumberFormat="1" applyFont="1" applyFill="1" applyBorder="1" applyAlignment="1" applyProtection="1">
      <alignment horizontal="center" vertical="center" wrapText="1"/>
    </xf>
    <xf numFmtId="10" fontId="11" fillId="14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  <protection locked="0"/>
    </xf>
    <xf numFmtId="164" fontId="6" fillId="0" borderId="2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0" fontId="10" fillId="0" borderId="6" xfId="0" applyNumberFormat="1" applyFont="1" applyBorder="1" applyAlignment="1">
      <alignment horizontal="center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10" fontId="10" fillId="0" borderId="21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/>
    </xf>
    <xf numFmtId="0" fontId="7" fillId="28" borderId="4" xfId="0" applyFont="1" applyFill="1" applyBorder="1" applyAlignment="1">
      <alignment horizontal="center" vertical="center"/>
    </xf>
    <xf numFmtId="0" fontId="7" fillId="28" borderId="5" xfId="0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Tabulka školy, návrh rozpočtu" xfId="1"/>
  </cellStyles>
  <dxfs count="72"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theme="0"/>
      </font>
      <numFmt numFmtId="169" formatCode=";;;"/>
    </dxf>
    <dxf>
      <numFmt numFmtId="169" formatCode=";;;"/>
    </dxf>
    <dxf>
      <font>
        <color rgb="FFFFFFFF"/>
      </font>
      <numFmt numFmtId="169" formatCode=";;;"/>
    </dxf>
    <dxf>
      <numFmt numFmtId="169" formatCode=";;;"/>
    </dxf>
    <dxf>
      <font>
        <color rgb="FFFFFFFF"/>
      </font>
      <numFmt numFmtId="169" formatCode=";;;"/>
    </dxf>
    <dxf>
      <numFmt numFmtId="169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g/Documents/TSMCH/Rozbory/Rozbory%20n&#225;klad&#367;%20a%20v&#253;nos&#367;%20-%20hlavn&#237;%20&#269;innost%20-%20rok%202021%20-%201-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g/Documents/TSMCH/Pl&#225;n%202022/NR%202022%20+%20SVR%202023-24%20-%20TSmCh%20po%207.%20&#250;prav&#283;%20pl&#225;nu%20rozpo&#269;tu%20-%20mos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g/Documents/TSMCH/Rozbory%20hospoda&#345;en&#237;/Rozbor%20hospoda&#345;en&#237;%202022/Vyhodnocen&#237;%20hospoda&#345;en&#237;%20podle%20rozpo&#269;tu%20za%201.%20pololet&#237;%202022%20-%20TSM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g/Documents/TSMCH/Pl&#225;n%202022/NR%202022%20+%20SVR%202023-24%20-%20TSmCh%20n&#225;vrh%20&#250;pravy%20pl&#225;nu%20rozpo&#269;tu%20-%2031.5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odaření PO"/>
      <sheetName val="Vyhod. hosp. PO -střediska"/>
      <sheetName val="HČ - SKUT 2021"/>
      <sheetName val="101"/>
      <sheetName val="102"/>
      <sheetName val="103"/>
      <sheetName val="104"/>
      <sheetName val="105"/>
      <sheetName val="108"/>
      <sheetName val="200"/>
      <sheetName val="201"/>
      <sheetName val="202"/>
      <sheetName val="204"/>
      <sheetName val="205"/>
      <sheetName val="206"/>
      <sheetName val="208+209"/>
      <sheetName val="210"/>
      <sheetName val="211"/>
      <sheetName val="Rozbory"/>
      <sheetName val="HČ - SKUT 2016"/>
      <sheetName val="HČ - SKUT 2015"/>
      <sheetName val="HČ - SKUT 2014"/>
      <sheetName val="HČ - SKUT 2013"/>
      <sheetName val="HČ - SKUT 2012"/>
      <sheetName val="HČ - SKUT 2011"/>
      <sheetName val="pomocné 203+211"/>
      <sheetName val="Měsíční náklady"/>
      <sheetName val="Výnosy bez střediska"/>
      <sheetName val="10104"/>
      <sheetName val="203"/>
      <sheetName val="1090204"/>
      <sheetName val="1100206"/>
      <sheetName val="310210"/>
    </sheetNames>
    <sheetDataSet>
      <sheetData sheetId="0">
        <row r="15">
          <cell r="P15">
            <v>0</v>
          </cell>
          <cell r="Q15">
            <v>0</v>
          </cell>
          <cell r="R15">
            <v>19547086.5</v>
          </cell>
          <cell r="T15">
            <v>17554316.600000001</v>
          </cell>
        </row>
        <row r="16">
          <cell r="P16">
            <v>130269700.00000001</v>
          </cell>
          <cell r="Q16">
            <v>0</v>
          </cell>
          <cell r="R16">
            <v>0</v>
          </cell>
          <cell r="T16">
            <v>0</v>
          </cell>
        </row>
        <row r="17">
          <cell r="P17">
            <v>0</v>
          </cell>
          <cell r="Q17">
            <v>0</v>
          </cell>
          <cell r="R17">
            <v>0</v>
          </cell>
          <cell r="T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T18">
            <v>0</v>
          </cell>
        </row>
        <row r="19">
          <cell r="P19">
            <v>0</v>
          </cell>
          <cell r="Q19">
            <v>0</v>
          </cell>
          <cell r="R19">
            <v>0</v>
          </cell>
          <cell r="T19">
            <v>0</v>
          </cell>
        </row>
        <row r="20">
          <cell r="P20">
            <v>0</v>
          </cell>
          <cell r="Q20">
            <v>0</v>
          </cell>
          <cell r="R20">
            <v>5977882.0199999996</v>
          </cell>
          <cell r="T20">
            <v>0</v>
          </cell>
        </row>
        <row r="21">
          <cell r="P21">
            <v>0</v>
          </cell>
          <cell r="Q21">
            <v>0</v>
          </cell>
          <cell r="R21">
            <v>3927798.8099999987</v>
          </cell>
          <cell r="T21">
            <v>8545.0300000000007</v>
          </cell>
        </row>
        <row r="22">
          <cell r="P22">
            <v>0</v>
          </cell>
          <cell r="Q22">
            <v>0</v>
          </cell>
          <cell r="R22">
            <v>273186.03000000009</v>
          </cell>
          <cell r="T22">
            <v>0</v>
          </cell>
        </row>
        <row r="23">
          <cell r="P23">
            <v>0</v>
          </cell>
          <cell r="Q23">
            <v>0</v>
          </cell>
          <cell r="R23">
            <v>1303199.1600000001</v>
          </cell>
          <cell r="T23">
            <v>0</v>
          </cell>
        </row>
        <row r="28">
          <cell r="P28">
            <v>4640945.5674211979</v>
          </cell>
          <cell r="Q28">
            <v>0</v>
          </cell>
          <cell r="R28">
            <v>706110.52257880091</v>
          </cell>
          <cell r="T28">
            <v>52386.33</v>
          </cell>
        </row>
        <row r="29">
          <cell r="P29">
            <v>11125787.557241421</v>
          </cell>
          <cell r="Q29">
            <v>0</v>
          </cell>
          <cell r="R29">
            <v>1692766.1727585762</v>
          </cell>
          <cell r="T29">
            <v>2539735.5</v>
          </cell>
        </row>
        <row r="30">
          <cell r="P30">
            <v>8717637.8898303099</v>
          </cell>
          <cell r="Q30">
            <v>0</v>
          </cell>
          <cell r="R30">
            <v>1326371.0501696928</v>
          </cell>
          <cell r="T30">
            <v>68551.95</v>
          </cell>
        </row>
        <row r="31">
          <cell r="P31">
            <v>28821698.388624992</v>
          </cell>
          <cell r="Q31">
            <v>0</v>
          </cell>
          <cell r="R31">
            <v>4385163.3713749945</v>
          </cell>
          <cell r="T31">
            <v>4094145.4</v>
          </cell>
        </row>
        <row r="32">
          <cell r="P32">
            <v>48699934.259771712</v>
          </cell>
          <cell r="Q32">
            <v>0</v>
          </cell>
          <cell r="R32">
            <v>7409596.9302282799</v>
          </cell>
          <cell r="T32">
            <v>3235672.81</v>
          </cell>
        </row>
        <row r="33">
          <cell r="P33">
            <v>47877716.965404935</v>
          </cell>
          <cell r="Q33">
            <v>0</v>
          </cell>
          <cell r="R33">
            <v>7284498.2245950541</v>
          </cell>
          <cell r="T33">
            <v>3235672.81</v>
          </cell>
        </row>
        <row r="34">
          <cell r="P34">
            <v>822217.29436677368</v>
          </cell>
          <cell r="Q34">
            <v>0</v>
          </cell>
          <cell r="R34">
            <v>125098.70563322619</v>
          </cell>
          <cell r="T34">
            <v>0</v>
          </cell>
        </row>
        <row r="35">
          <cell r="P35">
            <v>17197122.87459603</v>
          </cell>
          <cell r="Q35">
            <v>0</v>
          </cell>
          <cell r="R35">
            <v>2616507.6154039674</v>
          </cell>
          <cell r="T35">
            <v>1191993.53</v>
          </cell>
        </row>
        <row r="36">
          <cell r="P36">
            <v>66203.301058063022</v>
          </cell>
          <cell r="Q36">
            <v>0</v>
          </cell>
          <cell r="R36">
            <v>10072.698941936967</v>
          </cell>
          <cell r="T36">
            <v>253981</v>
          </cell>
        </row>
        <row r="37">
          <cell r="P37">
            <v>13157992.706107128</v>
          </cell>
          <cell r="Q37">
            <v>0</v>
          </cell>
          <cell r="R37">
            <v>2001962.0938928658</v>
          </cell>
          <cell r="T37">
            <v>878761.19999999984</v>
          </cell>
        </row>
        <row r="38">
          <cell r="P38">
            <v>8520598.1929330602</v>
          </cell>
          <cell r="Q38">
            <v>0</v>
          </cell>
          <cell r="R38">
            <v>1296391.8570669829</v>
          </cell>
          <cell r="T38">
            <v>2548512.4600000004</v>
          </cell>
        </row>
        <row r="51">
          <cell r="D51">
            <v>198936.75</v>
          </cell>
          <cell r="E51">
            <v>0</v>
          </cell>
          <cell r="F51">
            <v>0</v>
          </cell>
        </row>
        <row r="52">
          <cell r="D52">
            <v>6164029.6900000004</v>
          </cell>
          <cell r="E52">
            <v>8477234.1999999993</v>
          </cell>
          <cell r="F52">
            <v>3407826.02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214061.24</v>
          </cell>
          <cell r="E54">
            <v>538477.88</v>
          </cell>
          <cell r="F54">
            <v>642290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15">
          <cell r="V15">
            <v>0</v>
          </cell>
          <cell r="W15">
            <v>0</v>
          </cell>
          <cell r="X15">
            <v>16690000</v>
          </cell>
          <cell r="Z15">
            <v>17100000</v>
          </cell>
        </row>
        <row r="16">
          <cell r="V16">
            <v>154666600</v>
          </cell>
          <cell r="W16">
            <v>0</v>
          </cell>
          <cell r="X16">
            <v>0</v>
          </cell>
          <cell r="Z16">
            <v>0</v>
          </cell>
        </row>
        <row r="17"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V20">
            <v>0</v>
          </cell>
          <cell r="W20">
            <v>0</v>
          </cell>
          <cell r="X20">
            <v>3770000</v>
          </cell>
          <cell r="Z20">
            <v>0</v>
          </cell>
        </row>
        <row r="21">
          <cell r="V21">
            <v>0</v>
          </cell>
          <cell r="W21">
            <v>0</v>
          </cell>
          <cell r="X21">
            <v>3200000</v>
          </cell>
          <cell r="Z21">
            <v>0</v>
          </cell>
        </row>
        <row r="22">
          <cell r="V22">
            <v>0</v>
          </cell>
          <cell r="W22">
            <v>0</v>
          </cell>
          <cell r="X22">
            <v>200000</v>
          </cell>
          <cell r="Z22">
            <v>0</v>
          </cell>
        </row>
        <row r="23">
          <cell r="V23">
            <v>0</v>
          </cell>
          <cell r="W23">
            <v>0</v>
          </cell>
          <cell r="X23">
            <v>250000</v>
          </cell>
          <cell r="Z23">
            <v>0</v>
          </cell>
        </row>
        <row r="28">
          <cell r="V28">
            <v>5800000</v>
          </cell>
          <cell r="W28">
            <v>0</v>
          </cell>
          <cell r="X28">
            <v>1020000</v>
          </cell>
        </row>
        <row r="29">
          <cell r="V29">
            <v>9712966</v>
          </cell>
          <cell r="W29">
            <v>0</v>
          </cell>
          <cell r="X29">
            <v>1430000</v>
          </cell>
        </row>
        <row r="30">
          <cell r="V30">
            <v>19011472</v>
          </cell>
          <cell r="W30">
            <v>0</v>
          </cell>
          <cell r="X30">
            <v>1700000</v>
          </cell>
        </row>
        <row r="31">
          <cell r="V31">
            <v>27834789</v>
          </cell>
          <cell r="W31">
            <v>0</v>
          </cell>
          <cell r="X31">
            <v>5000000</v>
          </cell>
        </row>
        <row r="32">
          <cell r="V32">
            <v>53826525</v>
          </cell>
          <cell r="W32">
            <v>0</v>
          </cell>
          <cell r="X32">
            <v>8100000</v>
          </cell>
        </row>
        <row r="33">
          <cell r="V33">
            <v>52926525</v>
          </cell>
          <cell r="W33">
            <v>0</v>
          </cell>
          <cell r="X33">
            <v>7900000</v>
          </cell>
        </row>
        <row r="34">
          <cell r="V34">
            <v>900000</v>
          </cell>
          <cell r="W34">
            <v>0</v>
          </cell>
          <cell r="X34">
            <v>200000</v>
          </cell>
        </row>
        <row r="35">
          <cell r="V35">
            <v>17951441</v>
          </cell>
          <cell r="W35">
            <v>0</v>
          </cell>
          <cell r="X35">
            <v>2670000</v>
          </cell>
        </row>
        <row r="36">
          <cell r="V36">
            <v>60000</v>
          </cell>
          <cell r="W36">
            <v>0</v>
          </cell>
          <cell r="X36">
            <v>10000</v>
          </cell>
        </row>
        <row r="37">
          <cell r="V37">
            <v>17366407</v>
          </cell>
          <cell r="W37">
            <v>0</v>
          </cell>
          <cell r="X37">
            <v>2250000</v>
          </cell>
        </row>
        <row r="38">
          <cell r="V38">
            <v>6200000</v>
          </cell>
          <cell r="W38">
            <v>0</v>
          </cell>
          <cell r="X38">
            <v>1100000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. 1.pol. 2022"/>
    </sheetNames>
    <sheetDataSet>
      <sheetData sheetId="0">
        <row r="15">
          <cell r="P15">
            <v>0</v>
          </cell>
          <cell r="Q15">
            <v>0</v>
          </cell>
          <cell r="R15">
            <v>12154398.51</v>
          </cell>
          <cell r="T15">
            <v>8941820.2599999998</v>
          </cell>
        </row>
        <row r="16">
          <cell r="P16">
            <v>71276300</v>
          </cell>
          <cell r="Q16">
            <v>0</v>
          </cell>
          <cell r="R16">
            <v>0</v>
          </cell>
          <cell r="T16">
            <v>0</v>
          </cell>
        </row>
        <row r="17">
          <cell r="P17">
            <v>0</v>
          </cell>
          <cell r="Q17">
            <v>0</v>
          </cell>
          <cell r="R17">
            <v>0</v>
          </cell>
          <cell r="T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T18">
            <v>0</v>
          </cell>
        </row>
        <row r="19">
          <cell r="P19">
            <v>0</v>
          </cell>
          <cell r="Q19">
            <v>0</v>
          </cell>
          <cell r="R19">
            <v>0</v>
          </cell>
          <cell r="T19">
            <v>0</v>
          </cell>
        </row>
        <row r="20">
          <cell r="P20">
            <v>0</v>
          </cell>
          <cell r="Q20">
            <v>0</v>
          </cell>
          <cell r="R20">
            <v>1868833.2100000002</v>
          </cell>
          <cell r="T20">
            <v>0</v>
          </cell>
        </row>
        <row r="21">
          <cell r="P21">
            <v>0</v>
          </cell>
          <cell r="Q21">
            <v>0</v>
          </cell>
          <cell r="R21">
            <v>1528782.81</v>
          </cell>
          <cell r="T21">
            <v>5356.06</v>
          </cell>
        </row>
        <row r="22">
          <cell r="P22">
            <v>0</v>
          </cell>
          <cell r="Q22">
            <v>0</v>
          </cell>
          <cell r="R22">
            <v>0</v>
          </cell>
          <cell r="T22">
            <v>0</v>
          </cell>
        </row>
        <row r="23">
          <cell r="P23">
            <v>0</v>
          </cell>
          <cell r="Q23">
            <v>0</v>
          </cell>
          <cell r="R23">
            <v>0</v>
          </cell>
          <cell r="T23">
            <v>0</v>
          </cell>
        </row>
        <row r="28">
          <cell r="P28">
            <v>4654797.1664887117</v>
          </cell>
          <cell r="Q28">
            <v>0</v>
          </cell>
          <cell r="R28">
            <v>793759.77351128811</v>
          </cell>
          <cell r="T28">
            <v>32520.46</v>
          </cell>
        </row>
        <row r="29">
          <cell r="P29">
            <v>5816182.7230278449</v>
          </cell>
          <cell r="Q29">
            <v>0</v>
          </cell>
          <cell r="R29">
            <v>991805.16697215475</v>
          </cell>
          <cell r="T29">
            <v>1344653.21</v>
          </cell>
        </row>
        <row r="30">
          <cell r="P30">
            <v>7642808.5695598237</v>
          </cell>
          <cell r="Q30">
            <v>0</v>
          </cell>
          <cell r="R30">
            <v>1303290.7304401766</v>
          </cell>
          <cell r="T30">
            <v>78597.569999999992</v>
          </cell>
        </row>
        <row r="31">
          <cell r="P31">
            <v>14452933.23836031</v>
          </cell>
          <cell r="Q31">
            <v>0</v>
          </cell>
          <cell r="R31">
            <v>2464587.95163969</v>
          </cell>
          <cell r="T31">
            <v>1971360.67</v>
          </cell>
        </row>
        <row r="32">
          <cell r="P32">
            <v>23089743.564456102</v>
          </cell>
          <cell r="Q32">
            <v>0</v>
          </cell>
          <cell r="R32">
            <v>3937380.9355438957</v>
          </cell>
          <cell r="T32">
            <v>1512920.5</v>
          </cell>
        </row>
        <row r="33">
          <cell r="P33">
            <v>22682535.724022787</v>
          </cell>
          <cell r="Q33">
            <v>0</v>
          </cell>
          <cell r="R33">
            <v>3867941.7759772097</v>
          </cell>
          <cell r="T33">
            <v>1512920.5</v>
          </cell>
        </row>
        <row r="34">
          <cell r="P34">
            <v>407207.84043331386</v>
          </cell>
          <cell r="Q34">
            <v>0</v>
          </cell>
          <cell r="R34">
            <v>69439.159566686096</v>
          </cell>
          <cell r="T34">
            <v>0</v>
          </cell>
        </row>
        <row r="35">
          <cell r="P35">
            <v>8113823.3797959844</v>
          </cell>
          <cell r="Q35">
            <v>0</v>
          </cell>
          <cell r="R35">
            <v>1383610.5802040158</v>
          </cell>
          <cell r="T35">
            <v>567117.49</v>
          </cell>
        </row>
        <row r="36">
          <cell r="P36">
            <v>32690.926363730381</v>
          </cell>
          <cell r="Q36">
            <v>0</v>
          </cell>
          <cell r="R36">
            <v>5574.62363626962</v>
          </cell>
          <cell r="T36">
            <v>3000</v>
          </cell>
        </row>
        <row r="37">
          <cell r="P37">
            <v>6258555.8237701608</v>
          </cell>
          <cell r="Q37">
            <v>0</v>
          </cell>
          <cell r="R37">
            <v>1067240.8862298389</v>
          </cell>
          <cell r="T37">
            <v>454628.29</v>
          </cell>
        </row>
        <row r="38">
          <cell r="P38">
            <v>7621747.7312198197</v>
          </cell>
          <cell r="Q38">
            <v>0</v>
          </cell>
          <cell r="R38">
            <v>1299699.3287801705</v>
          </cell>
          <cell r="T38">
            <v>1077287.49</v>
          </cell>
        </row>
        <row r="51">
          <cell r="D51">
            <v>199</v>
          </cell>
          <cell r="E51">
            <v>0</v>
          </cell>
          <cell r="F51">
            <v>0</v>
          </cell>
          <cell r="G51">
            <v>199</v>
          </cell>
        </row>
        <row r="52">
          <cell r="D52">
            <v>7727.6</v>
          </cell>
          <cell r="E52">
            <v>7780.4</v>
          </cell>
          <cell r="F52">
            <v>4214.2</v>
          </cell>
          <cell r="G52">
            <v>11293.8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122.4</v>
          </cell>
          <cell r="E54">
            <v>561.6</v>
          </cell>
          <cell r="F54">
            <v>600.70000000000005</v>
          </cell>
          <cell r="G54">
            <v>83.299999999999955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15">
          <cell r="V15">
            <v>0</v>
          </cell>
        </row>
        <row r="28">
          <cell r="Z28">
            <v>30000</v>
          </cell>
        </row>
        <row r="29">
          <cell r="Z29">
            <v>2300000</v>
          </cell>
        </row>
        <row r="30">
          <cell r="Z30">
            <v>70000</v>
          </cell>
        </row>
        <row r="31">
          <cell r="Z31">
            <v>4000000</v>
          </cell>
        </row>
        <row r="32">
          <cell r="Z32">
            <v>3300000</v>
          </cell>
        </row>
        <row r="33">
          <cell r="Z33">
            <v>3300000</v>
          </cell>
        </row>
        <row r="34">
          <cell r="Z34">
            <v>0</v>
          </cell>
        </row>
        <row r="35">
          <cell r="Z35">
            <v>1150000</v>
          </cell>
        </row>
        <row r="36">
          <cell r="Z36">
            <v>250000</v>
          </cell>
        </row>
        <row r="37">
          <cell r="Z37">
            <v>1000000</v>
          </cell>
        </row>
        <row r="38">
          <cell r="Z38">
            <v>2283000</v>
          </cell>
        </row>
        <row r="57">
          <cell r="V57">
            <v>179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zoomScale="80" zoomScaleNormal="80" zoomScalePageLayoutView="80" workbookViewId="0">
      <selection activeCell="B60" sqref="B60:U60"/>
    </sheetView>
  </sheetViews>
  <sheetFormatPr defaultColWidth="9.140625" defaultRowHeight="15" zeroHeight="1" x14ac:dyDescent="0.25"/>
  <cols>
    <col min="1" max="1" width="4.5703125" style="167" customWidth="1"/>
    <col min="2" max="2" width="9.140625" style="167"/>
    <col min="3" max="3" width="65.7109375" style="167" customWidth="1"/>
    <col min="4" max="4" width="16.5703125" style="167" customWidth="1"/>
    <col min="5" max="5" width="17.85546875" style="167" customWidth="1"/>
    <col min="6" max="6" width="16.85546875" style="167" customWidth="1"/>
    <col min="7" max="7" width="21.28515625" style="167" customWidth="1"/>
    <col min="8" max="8" width="14.140625" style="167" customWidth="1"/>
    <col min="9" max="9" width="11.28515625" style="167" customWidth="1"/>
    <col min="10" max="10" width="16.140625" style="167" customWidth="1"/>
    <col min="11" max="11" width="17.85546875" style="167" customWidth="1"/>
    <col min="12" max="12" width="13.7109375" style="167" customWidth="1"/>
    <col min="13" max="13" width="23.42578125" style="342" customWidth="1"/>
    <col min="14" max="14" width="13.28515625" style="167" customWidth="1"/>
    <col min="15" max="15" width="11.28515625" style="167" customWidth="1"/>
    <col min="16" max="18" width="16.42578125" style="167" customWidth="1"/>
    <col min="19" max="19" width="21.140625" style="167" customWidth="1"/>
    <col min="20" max="20" width="12.42578125" style="167" customWidth="1"/>
    <col min="21" max="21" width="10.7109375" style="167" customWidth="1"/>
    <col min="22" max="22" width="16.140625" style="167" customWidth="1"/>
    <col min="23" max="23" width="14.140625" style="167" customWidth="1"/>
    <col min="24" max="24" width="13.140625" style="167" customWidth="1"/>
    <col min="25" max="25" width="21.85546875" style="167" customWidth="1"/>
    <col min="26" max="26" width="12.5703125" style="167" customWidth="1"/>
    <col min="27" max="27" width="10.7109375" style="167" customWidth="1"/>
    <col min="28" max="28" width="17.7109375" style="167" customWidth="1"/>
    <col min="29" max="29" width="5.85546875" style="167" customWidth="1"/>
    <col min="30" max="30" width="11.5703125" style="167" hidden="1" customWidth="1"/>
    <col min="31" max="16384" width="9.140625" style="167"/>
  </cols>
  <sheetData>
    <row r="1" spans="1:30" x14ac:dyDescent="0.2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5"/>
      <c r="N1" s="164"/>
      <c r="O1" s="164"/>
      <c r="P1" s="164"/>
      <c r="Q1" s="164"/>
      <c r="R1" s="164"/>
      <c r="S1" s="164"/>
      <c r="T1" s="164"/>
      <c r="U1" s="164"/>
      <c r="V1" s="166"/>
      <c r="W1" s="166"/>
      <c r="X1" s="166"/>
      <c r="Y1" s="166"/>
      <c r="Z1" s="166"/>
      <c r="AA1" s="166"/>
      <c r="AB1" s="166"/>
      <c r="AC1" s="166"/>
    </row>
    <row r="2" spans="1:30" ht="21" x14ac:dyDescent="0.35">
      <c r="A2" s="164"/>
      <c r="B2" s="168" t="s">
        <v>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  <c r="N2" s="164"/>
      <c r="O2" s="164"/>
      <c r="P2" s="164"/>
      <c r="Q2" s="164"/>
      <c r="R2" s="164"/>
      <c r="S2" s="164"/>
      <c r="T2" s="164"/>
      <c r="U2" s="164"/>
      <c r="V2" s="166"/>
      <c r="W2" s="166"/>
      <c r="X2" s="166"/>
      <c r="Y2" s="166"/>
      <c r="Z2" s="166"/>
      <c r="AA2" s="166"/>
      <c r="AB2" s="166"/>
      <c r="AC2" s="166"/>
    </row>
    <row r="3" spans="1:30" ht="7.5" customHeight="1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5"/>
      <c r="N3" s="164"/>
      <c r="O3" s="164"/>
      <c r="P3" s="164"/>
      <c r="Q3" s="164"/>
      <c r="R3" s="164"/>
      <c r="S3" s="164"/>
      <c r="T3" s="164"/>
      <c r="U3" s="164"/>
      <c r="V3" s="166"/>
      <c r="W3" s="166"/>
      <c r="X3" s="166"/>
      <c r="Y3" s="166"/>
      <c r="Z3" s="166"/>
      <c r="AA3" s="166"/>
      <c r="AB3" s="166"/>
      <c r="AC3" s="166"/>
    </row>
    <row r="4" spans="1:30" ht="21" x14ac:dyDescent="0.35">
      <c r="A4" s="164"/>
      <c r="B4" s="164" t="s">
        <v>1</v>
      </c>
      <c r="C4" s="164"/>
      <c r="D4" s="827" t="s">
        <v>135</v>
      </c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166"/>
      <c r="W4" s="166"/>
      <c r="X4" s="166"/>
      <c r="Y4" s="166"/>
      <c r="Z4" s="166"/>
      <c r="AA4" s="166"/>
      <c r="AB4" s="166"/>
      <c r="AC4" s="166"/>
    </row>
    <row r="5" spans="1:30" ht="3.75" customHeight="1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5"/>
      <c r="N5" s="164"/>
      <c r="O5" s="164"/>
      <c r="P5" s="164"/>
      <c r="Q5" s="164"/>
      <c r="R5" s="164"/>
      <c r="S5" s="164"/>
      <c r="T5" s="164"/>
      <c r="U5" s="164"/>
      <c r="V5" s="166"/>
      <c r="W5" s="166"/>
      <c r="X5" s="166"/>
      <c r="Y5" s="166"/>
      <c r="Z5" s="166"/>
      <c r="AA5" s="166"/>
      <c r="AB5" s="166"/>
      <c r="AC5" s="166"/>
    </row>
    <row r="6" spans="1:30" x14ac:dyDescent="0.25">
      <c r="A6" s="164"/>
      <c r="B6" s="164" t="s">
        <v>3</v>
      </c>
      <c r="C6" s="164"/>
      <c r="D6" s="169" t="s">
        <v>136</v>
      </c>
      <c r="E6" s="164"/>
      <c r="F6" s="164"/>
      <c r="G6" s="164"/>
      <c r="H6" s="164"/>
      <c r="I6" s="164"/>
      <c r="J6" s="164"/>
      <c r="K6" s="164"/>
      <c r="L6" s="164"/>
      <c r="M6" s="165"/>
      <c r="N6" s="164"/>
      <c r="O6" s="164"/>
      <c r="P6" s="164"/>
      <c r="Q6" s="164"/>
      <c r="R6" s="164"/>
      <c r="S6" s="164"/>
      <c r="T6" s="164"/>
      <c r="U6" s="164"/>
      <c r="V6" s="166"/>
      <c r="W6" s="166"/>
      <c r="X6" s="166"/>
      <c r="Y6" s="166"/>
      <c r="Z6" s="166"/>
      <c r="AA6" s="166"/>
      <c r="AB6" s="166"/>
      <c r="AC6" s="166"/>
    </row>
    <row r="7" spans="1:30" ht="3.75" customHeight="1" x14ac:dyDescent="0.25">
      <c r="A7" s="164"/>
      <c r="B7" s="164"/>
      <c r="C7" s="164"/>
      <c r="D7" s="170"/>
      <c r="E7" s="164"/>
      <c r="F7" s="164"/>
      <c r="G7" s="164"/>
      <c r="H7" s="164"/>
      <c r="I7" s="164"/>
      <c r="J7" s="164"/>
      <c r="K7" s="164"/>
      <c r="L7" s="164"/>
      <c r="M7" s="165"/>
      <c r="N7" s="164"/>
      <c r="O7" s="164"/>
      <c r="P7" s="164"/>
      <c r="Q7" s="164"/>
      <c r="R7" s="164"/>
      <c r="S7" s="164"/>
      <c r="T7" s="164"/>
      <c r="U7" s="164"/>
      <c r="V7" s="166"/>
      <c r="W7" s="166"/>
      <c r="X7" s="166"/>
      <c r="Y7" s="166"/>
      <c r="Z7" s="166"/>
      <c r="AA7" s="166"/>
      <c r="AB7" s="166"/>
      <c r="AC7" s="166"/>
    </row>
    <row r="8" spans="1:30" x14ac:dyDescent="0.25">
      <c r="A8" s="164"/>
      <c r="B8" s="164" t="s">
        <v>4</v>
      </c>
      <c r="C8" s="164"/>
      <c r="D8" s="828" t="s">
        <v>137</v>
      </c>
      <c r="E8" s="828"/>
      <c r="F8" s="828"/>
      <c r="G8" s="828"/>
      <c r="H8" s="828"/>
      <c r="I8" s="828"/>
      <c r="J8" s="828"/>
      <c r="K8" s="828"/>
      <c r="L8" s="828"/>
      <c r="M8" s="828"/>
      <c r="N8" s="828"/>
      <c r="O8" s="828"/>
      <c r="P8" s="828"/>
      <c r="Q8" s="828"/>
      <c r="R8" s="828"/>
      <c r="S8" s="828"/>
      <c r="T8" s="828"/>
      <c r="U8" s="828"/>
      <c r="V8" s="166"/>
      <c r="W8" s="166"/>
      <c r="X8" s="166"/>
      <c r="Y8" s="166"/>
      <c r="Z8" s="166"/>
      <c r="AA8" s="166"/>
      <c r="AB8" s="166"/>
      <c r="AC8" s="166"/>
    </row>
    <row r="9" spans="1:30" ht="15.75" thickBot="1" x14ac:dyDescent="0.3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5"/>
      <c r="N9" s="164"/>
      <c r="O9" s="164"/>
      <c r="P9" s="164"/>
      <c r="Q9" s="164"/>
      <c r="R9" s="164"/>
      <c r="S9" s="164"/>
      <c r="T9" s="164"/>
      <c r="U9" s="164"/>
      <c r="V9" s="166"/>
      <c r="W9" s="166"/>
      <c r="X9" s="166"/>
      <c r="Y9" s="166"/>
      <c r="Z9" s="166"/>
      <c r="AA9" s="166"/>
      <c r="AB9" s="166"/>
      <c r="AC9" s="166"/>
    </row>
    <row r="10" spans="1:30" ht="29.25" customHeight="1" thickBot="1" x14ac:dyDescent="0.3">
      <c r="A10" s="164"/>
      <c r="B10" s="829" t="s">
        <v>6</v>
      </c>
      <c r="C10" s="830" t="s">
        <v>7</v>
      </c>
      <c r="D10" s="823" t="s">
        <v>8</v>
      </c>
      <c r="E10" s="823"/>
      <c r="F10" s="823"/>
      <c r="G10" s="823"/>
      <c r="H10" s="823"/>
      <c r="I10" s="823"/>
      <c r="J10" s="823" t="s">
        <v>138</v>
      </c>
      <c r="K10" s="823"/>
      <c r="L10" s="823"/>
      <c r="M10" s="823"/>
      <c r="N10" s="823"/>
      <c r="O10" s="823"/>
      <c r="P10" s="823" t="s">
        <v>10</v>
      </c>
      <c r="Q10" s="823"/>
      <c r="R10" s="823"/>
      <c r="S10" s="823"/>
      <c r="T10" s="823"/>
      <c r="U10" s="823"/>
      <c r="V10" s="823" t="s">
        <v>139</v>
      </c>
      <c r="W10" s="823"/>
      <c r="X10" s="823"/>
      <c r="Y10" s="823"/>
      <c r="Z10" s="823"/>
      <c r="AA10" s="823"/>
      <c r="AB10" s="824" t="s">
        <v>140</v>
      </c>
      <c r="AC10" s="166"/>
      <c r="AD10" s="166"/>
    </row>
    <row r="11" spans="1:30" ht="30.75" customHeight="1" thickBot="1" x14ac:dyDescent="0.3">
      <c r="A11" s="164"/>
      <c r="B11" s="829"/>
      <c r="C11" s="830"/>
      <c r="D11" s="825" t="s">
        <v>13</v>
      </c>
      <c r="E11" s="825"/>
      <c r="F11" s="825"/>
      <c r="G11" s="825"/>
      <c r="H11" s="171" t="s">
        <v>14</v>
      </c>
      <c r="I11" s="171" t="s">
        <v>15</v>
      </c>
      <c r="J11" s="825" t="s">
        <v>13</v>
      </c>
      <c r="K11" s="825"/>
      <c r="L11" s="825"/>
      <c r="M11" s="825"/>
      <c r="N11" s="171" t="s">
        <v>14</v>
      </c>
      <c r="O11" s="171" t="s">
        <v>15</v>
      </c>
      <c r="P11" s="825" t="s">
        <v>13</v>
      </c>
      <c r="Q11" s="825"/>
      <c r="R11" s="825"/>
      <c r="S11" s="825"/>
      <c r="T11" s="171" t="s">
        <v>14</v>
      </c>
      <c r="U11" s="171" t="s">
        <v>15</v>
      </c>
      <c r="V11" s="825" t="s">
        <v>13</v>
      </c>
      <c r="W11" s="825"/>
      <c r="X11" s="825"/>
      <c r="Y11" s="825"/>
      <c r="Z11" s="171" t="s">
        <v>14</v>
      </c>
      <c r="AA11" s="171" t="s">
        <v>15</v>
      </c>
      <c r="AB11" s="824"/>
      <c r="AC11" s="166"/>
      <c r="AD11" s="166"/>
    </row>
    <row r="12" spans="1:30" ht="15.75" customHeight="1" thickBot="1" x14ac:dyDescent="0.3">
      <c r="A12" s="164"/>
      <c r="B12" s="829"/>
      <c r="C12" s="830"/>
      <c r="D12" s="826" t="s">
        <v>16</v>
      </c>
      <c r="E12" s="826"/>
      <c r="F12" s="826"/>
      <c r="G12" s="826"/>
      <c r="H12" s="826"/>
      <c r="I12" s="826"/>
      <c r="J12" s="826" t="s">
        <v>16</v>
      </c>
      <c r="K12" s="826"/>
      <c r="L12" s="826"/>
      <c r="M12" s="826"/>
      <c r="N12" s="826"/>
      <c r="O12" s="826"/>
      <c r="P12" s="826" t="s">
        <v>16</v>
      </c>
      <c r="Q12" s="826"/>
      <c r="R12" s="826"/>
      <c r="S12" s="826"/>
      <c r="T12" s="826"/>
      <c r="U12" s="826"/>
      <c r="V12" s="826" t="s">
        <v>16</v>
      </c>
      <c r="W12" s="826"/>
      <c r="X12" s="826"/>
      <c r="Y12" s="826"/>
      <c r="Z12" s="826"/>
      <c r="AA12" s="826"/>
      <c r="AB12" s="824"/>
      <c r="AC12" s="166"/>
      <c r="AD12" s="166"/>
    </row>
    <row r="13" spans="1:30" ht="15.75" customHeight="1" thickBot="1" x14ac:dyDescent="0.3">
      <c r="A13" s="164"/>
      <c r="B13" s="829"/>
      <c r="C13" s="830"/>
      <c r="D13" s="822" t="s">
        <v>17</v>
      </c>
      <c r="E13" s="822"/>
      <c r="F13" s="822"/>
      <c r="G13" s="815" t="s">
        <v>18</v>
      </c>
      <c r="H13" s="821" t="s">
        <v>19</v>
      </c>
      <c r="I13" s="818" t="s">
        <v>16</v>
      </c>
      <c r="J13" s="822" t="s">
        <v>17</v>
      </c>
      <c r="K13" s="822"/>
      <c r="L13" s="822"/>
      <c r="M13" s="815" t="s">
        <v>18</v>
      </c>
      <c r="N13" s="821" t="s">
        <v>19</v>
      </c>
      <c r="O13" s="818" t="s">
        <v>16</v>
      </c>
      <c r="P13" s="822" t="s">
        <v>17</v>
      </c>
      <c r="Q13" s="822"/>
      <c r="R13" s="822"/>
      <c r="S13" s="815" t="s">
        <v>18</v>
      </c>
      <c r="T13" s="821" t="s">
        <v>19</v>
      </c>
      <c r="U13" s="818" t="s">
        <v>16</v>
      </c>
      <c r="V13" s="822" t="s">
        <v>17</v>
      </c>
      <c r="W13" s="822"/>
      <c r="X13" s="822"/>
      <c r="Y13" s="815" t="s">
        <v>18</v>
      </c>
      <c r="Z13" s="821" t="s">
        <v>19</v>
      </c>
      <c r="AA13" s="818" t="s">
        <v>16</v>
      </c>
      <c r="AB13" s="824"/>
      <c r="AC13" s="166"/>
      <c r="AD13" s="166"/>
    </row>
    <row r="14" spans="1:30" ht="15.75" thickBot="1" x14ac:dyDescent="0.3">
      <c r="A14" s="164"/>
      <c r="B14" s="172"/>
      <c r="C14" s="173"/>
      <c r="D14" s="174" t="s">
        <v>20</v>
      </c>
      <c r="E14" s="175" t="s">
        <v>21</v>
      </c>
      <c r="F14" s="175" t="s">
        <v>22</v>
      </c>
      <c r="G14" s="815"/>
      <c r="H14" s="821"/>
      <c r="I14" s="818"/>
      <c r="J14" s="174" t="s">
        <v>20</v>
      </c>
      <c r="K14" s="175" t="s">
        <v>21</v>
      </c>
      <c r="L14" s="175" t="s">
        <v>22</v>
      </c>
      <c r="M14" s="815"/>
      <c r="N14" s="821"/>
      <c r="O14" s="818"/>
      <c r="P14" s="174" t="s">
        <v>20</v>
      </c>
      <c r="Q14" s="175" t="s">
        <v>21</v>
      </c>
      <c r="R14" s="175" t="s">
        <v>22</v>
      </c>
      <c r="S14" s="815"/>
      <c r="T14" s="821"/>
      <c r="U14" s="818"/>
      <c r="V14" s="174" t="s">
        <v>20</v>
      </c>
      <c r="W14" s="175" t="s">
        <v>21</v>
      </c>
      <c r="X14" s="175" t="s">
        <v>22</v>
      </c>
      <c r="Y14" s="815"/>
      <c r="Z14" s="821"/>
      <c r="AA14" s="818"/>
      <c r="AB14" s="824"/>
      <c r="AC14" s="166"/>
      <c r="AD14" s="166"/>
    </row>
    <row r="15" spans="1:30" x14ac:dyDescent="0.25">
      <c r="A15" s="164"/>
      <c r="B15" s="176" t="s">
        <v>23</v>
      </c>
      <c r="C15" s="177" t="s">
        <v>24</v>
      </c>
      <c r="D15" s="178"/>
      <c r="E15" s="179"/>
      <c r="F15" s="180">
        <v>2145</v>
      </c>
      <c r="G15" s="181">
        <f>SUM(D15:F15)</f>
        <v>2145</v>
      </c>
      <c r="H15" s="182">
        <v>0</v>
      </c>
      <c r="I15" s="183">
        <f>G15+H15</f>
        <v>2145</v>
      </c>
      <c r="J15" s="184"/>
      <c r="K15" s="185"/>
      <c r="L15" s="186">
        <v>2899</v>
      </c>
      <c r="M15" s="187">
        <f t="shared" ref="M15:M23" si="0">SUM(J15:L15)</f>
        <v>2899</v>
      </c>
      <c r="N15" s="182">
        <v>0</v>
      </c>
      <c r="O15" s="183">
        <f>M15+N15</f>
        <v>2899</v>
      </c>
      <c r="P15" s="178"/>
      <c r="Q15" s="179"/>
      <c r="R15" s="180">
        <v>1668</v>
      </c>
      <c r="S15" s="181">
        <f>SUM(P15:R15)</f>
        <v>1668</v>
      </c>
      <c r="T15" s="182">
        <v>0</v>
      </c>
      <c r="U15" s="183">
        <f>S15+T15</f>
        <v>1668</v>
      </c>
      <c r="V15" s="184"/>
      <c r="W15" s="185"/>
      <c r="X15" s="186">
        <v>3004</v>
      </c>
      <c r="Y15" s="187">
        <f t="shared" ref="Y15:Y24" si="1">SUM(V15:X15)</f>
        <v>3004</v>
      </c>
      <c r="Z15" s="188">
        <v>0</v>
      </c>
      <c r="AA15" s="189">
        <f t="shared" ref="AA15:AA23" si="2">Y15+Z15</f>
        <v>3004</v>
      </c>
      <c r="AB15" s="190">
        <f t="shared" ref="AB15:AB24" si="3">(AA15/O15)</f>
        <v>1.0362193859951707</v>
      </c>
      <c r="AC15" s="166"/>
      <c r="AD15" s="166"/>
    </row>
    <row r="16" spans="1:30" x14ac:dyDescent="0.25">
      <c r="A16" s="164"/>
      <c r="B16" s="191" t="s">
        <v>25</v>
      </c>
      <c r="C16" s="192" t="s">
        <v>26</v>
      </c>
      <c r="D16" s="193">
        <v>25480</v>
      </c>
      <c r="E16" s="194"/>
      <c r="F16" s="194"/>
      <c r="G16" s="195">
        <f t="shared" ref="G16:G23" si="4">SUM(D16:F16)</f>
        <v>25480</v>
      </c>
      <c r="H16" s="196"/>
      <c r="I16" s="183">
        <f t="shared" ref="I16:I20" si="5">G16+H16</f>
        <v>25480</v>
      </c>
      <c r="J16" s="197">
        <v>27981</v>
      </c>
      <c r="K16" s="198"/>
      <c r="L16" s="198"/>
      <c r="M16" s="199">
        <f t="shared" si="0"/>
        <v>27981</v>
      </c>
      <c r="N16" s="196"/>
      <c r="O16" s="183">
        <f t="shared" ref="O16:O23" si="6">M16+N16</f>
        <v>27981</v>
      </c>
      <c r="P16" s="193">
        <v>13990.5</v>
      </c>
      <c r="Q16" s="194"/>
      <c r="R16" s="194"/>
      <c r="S16" s="195">
        <f t="shared" ref="S16:S23" si="7">SUM(P16:R16)</f>
        <v>13990.5</v>
      </c>
      <c r="T16" s="196"/>
      <c r="U16" s="183">
        <f t="shared" ref="U16:U20" si="8">S16+T16</f>
        <v>13990.5</v>
      </c>
      <c r="V16" s="197">
        <v>28618</v>
      </c>
      <c r="W16" s="198"/>
      <c r="X16" s="198"/>
      <c r="Y16" s="199">
        <f t="shared" si="1"/>
        <v>28618</v>
      </c>
      <c r="Z16" s="200"/>
      <c r="AA16" s="189">
        <f t="shared" si="2"/>
        <v>28618</v>
      </c>
      <c r="AB16" s="190">
        <f t="shared" si="3"/>
        <v>1.0227654479825596</v>
      </c>
      <c r="AC16" s="166"/>
      <c r="AD16" s="166"/>
    </row>
    <row r="17" spans="1:30" x14ac:dyDescent="0.25">
      <c r="A17" s="164"/>
      <c r="B17" s="191" t="s">
        <v>27</v>
      </c>
      <c r="C17" s="201" t="s">
        <v>28</v>
      </c>
      <c r="D17" s="202"/>
      <c r="E17" s="203"/>
      <c r="F17" s="203"/>
      <c r="G17" s="195">
        <f t="shared" si="4"/>
        <v>0</v>
      </c>
      <c r="H17" s="204"/>
      <c r="I17" s="183">
        <f t="shared" si="5"/>
        <v>0</v>
      </c>
      <c r="J17" s="205"/>
      <c r="K17" s="206"/>
      <c r="L17" s="206"/>
      <c r="M17" s="199">
        <f t="shared" si="0"/>
        <v>0</v>
      </c>
      <c r="N17" s="204"/>
      <c r="O17" s="183">
        <f t="shared" si="6"/>
        <v>0</v>
      </c>
      <c r="P17" s="202"/>
      <c r="Q17" s="203"/>
      <c r="R17" s="203"/>
      <c r="S17" s="195">
        <f t="shared" si="7"/>
        <v>0</v>
      </c>
      <c r="T17" s="204"/>
      <c r="U17" s="183">
        <f t="shared" si="8"/>
        <v>0</v>
      </c>
      <c r="V17" s="205"/>
      <c r="W17" s="206"/>
      <c r="X17" s="206"/>
      <c r="Y17" s="199">
        <f t="shared" si="1"/>
        <v>0</v>
      </c>
      <c r="Z17" s="207"/>
      <c r="AA17" s="189">
        <f t="shared" si="2"/>
        <v>0</v>
      </c>
      <c r="AB17" s="190" t="e">
        <f t="shared" si="3"/>
        <v>#DIV/0!</v>
      </c>
      <c r="AC17" s="166"/>
      <c r="AD17" s="166"/>
    </row>
    <row r="18" spans="1:30" x14ac:dyDescent="0.25">
      <c r="A18" s="164"/>
      <c r="B18" s="191" t="s">
        <v>29</v>
      </c>
      <c r="C18" s="208" t="s">
        <v>30</v>
      </c>
      <c r="D18" s="209"/>
      <c r="E18" s="210">
        <f>1479.7+16.9</f>
        <v>1496.6000000000001</v>
      </c>
      <c r="F18" s="203"/>
      <c r="G18" s="195">
        <f t="shared" si="4"/>
        <v>1496.6000000000001</v>
      </c>
      <c r="H18" s="182"/>
      <c r="I18" s="183">
        <f t="shared" si="5"/>
        <v>1496.6000000000001</v>
      </c>
      <c r="J18" s="211"/>
      <c r="K18" s="212">
        <f>1300+87.8+40</f>
        <v>1427.8</v>
      </c>
      <c r="L18" s="206"/>
      <c r="M18" s="199">
        <f t="shared" si="0"/>
        <v>1427.8</v>
      </c>
      <c r="N18" s="182"/>
      <c r="O18" s="183">
        <f t="shared" si="6"/>
        <v>1427.8</v>
      </c>
      <c r="P18" s="209"/>
      <c r="Q18" s="210">
        <f>1329.4+39.7</f>
        <v>1369.1000000000001</v>
      </c>
      <c r="R18" s="203"/>
      <c r="S18" s="195">
        <f t="shared" si="7"/>
        <v>1369.1000000000001</v>
      </c>
      <c r="T18" s="182"/>
      <c r="U18" s="183">
        <f t="shared" si="8"/>
        <v>1369.1000000000001</v>
      </c>
      <c r="V18" s="211"/>
      <c r="W18" s="212">
        <v>1300</v>
      </c>
      <c r="X18" s="206"/>
      <c r="Y18" s="199">
        <f t="shared" si="1"/>
        <v>1300</v>
      </c>
      <c r="Z18" s="188"/>
      <c r="AA18" s="189">
        <f t="shared" si="2"/>
        <v>1300</v>
      </c>
      <c r="AB18" s="190">
        <f t="shared" si="3"/>
        <v>0.91049166549936966</v>
      </c>
      <c r="AC18" s="166"/>
      <c r="AD18" s="166"/>
    </row>
    <row r="19" spans="1:30" x14ac:dyDescent="0.25">
      <c r="A19" s="164"/>
      <c r="B19" s="191" t="s">
        <v>31</v>
      </c>
      <c r="C19" s="213" t="s">
        <v>32</v>
      </c>
      <c r="D19" s="214">
        <v>46</v>
      </c>
      <c r="E19" s="203"/>
      <c r="F19" s="215"/>
      <c r="G19" s="195">
        <f t="shared" si="4"/>
        <v>46</v>
      </c>
      <c r="H19" s="188"/>
      <c r="I19" s="183">
        <f t="shared" si="5"/>
        <v>46</v>
      </c>
      <c r="J19" s="216">
        <v>46</v>
      </c>
      <c r="K19" s="206"/>
      <c r="L19" s="212"/>
      <c r="M19" s="199">
        <f t="shared" si="0"/>
        <v>46</v>
      </c>
      <c r="N19" s="188"/>
      <c r="O19" s="183">
        <f t="shared" si="6"/>
        <v>46</v>
      </c>
      <c r="P19" s="214">
        <v>23</v>
      </c>
      <c r="Q19" s="203"/>
      <c r="R19" s="215"/>
      <c r="S19" s="195">
        <f t="shared" si="7"/>
        <v>23</v>
      </c>
      <c r="T19" s="188"/>
      <c r="U19" s="183">
        <f t="shared" si="8"/>
        <v>23</v>
      </c>
      <c r="V19" s="216">
        <v>46</v>
      </c>
      <c r="W19" s="206"/>
      <c r="X19" s="212"/>
      <c r="Y19" s="199">
        <f t="shared" si="1"/>
        <v>46</v>
      </c>
      <c r="Z19" s="188"/>
      <c r="AA19" s="189">
        <f t="shared" si="2"/>
        <v>46</v>
      </c>
      <c r="AB19" s="190">
        <f t="shared" si="3"/>
        <v>1</v>
      </c>
      <c r="AC19" s="166"/>
      <c r="AD19" s="166"/>
    </row>
    <row r="20" spans="1:30" x14ac:dyDescent="0.25">
      <c r="A20" s="164"/>
      <c r="B20" s="191" t="s">
        <v>33</v>
      </c>
      <c r="C20" s="217" t="s">
        <v>34</v>
      </c>
      <c r="D20" s="209"/>
      <c r="E20" s="194"/>
      <c r="F20" s="218">
        <v>0</v>
      </c>
      <c r="G20" s="195">
        <f t="shared" si="4"/>
        <v>0</v>
      </c>
      <c r="H20" s="188"/>
      <c r="I20" s="183">
        <f t="shared" si="5"/>
        <v>0</v>
      </c>
      <c r="J20" s="211"/>
      <c r="K20" s="198"/>
      <c r="L20" s="218"/>
      <c r="M20" s="199">
        <f t="shared" si="0"/>
        <v>0</v>
      </c>
      <c r="N20" s="188"/>
      <c r="O20" s="183">
        <f t="shared" si="6"/>
        <v>0</v>
      </c>
      <c r="P20" s="209"/>
      <c r="Q20" s="194"/>
      <c r="R20" s="218"/>
      <c r="S20" s="195">
        <f t="shared" si="7"/>
        <v>0</v>
      </c>
      <c r="T20" s="188"/>
      <c r="U20" s="183">
        <f t="shared" si="8"/>
        <v>0</v>
      </c>
      <c r="V20" s="211"/>
      <c r="W20" s="198"/>
      <c r="X20" s="218"/>
      <c r="Y20" s="199">
        <f t="shared" si="1"/>
        <v>0</v>
      </c>
      <c r="Z20" s="188"/>
      <c r="AA20" s="189">
        <f t="shared" si="2"/>
        <v>0</v>
      </c>
      <c r="AB20" s="190" t="e">
        <f t="shared" si="3"/>
        <v>#DIV/0!</v>
      </c>
      <c r="AC20" s="166"/>
      <c r="AD20" s="166"/>
    </row>
    <row r="21" spans="1:30" x14ac:dyDescent="0.25">
      <c r="A21" s="164"/>
      <c r="B21" s="191" t="s">
        <v>35</v>
      </c>
      <c r="C21" s="217" t="s">
        <v>36</v>
      </c>
      <c r="D21" s="209"/>
      <c r="E21" s="194">
        <v>56.2</v>
      </c>
      <c r="F21" s="218">
        <v>171.5</v>
      </c>
      <c r="G21" s="195">
        <f t="shared" si="4"/>
        <v>227.7</v>
      </c>
      <c r="H21" s="219"/>
      <c r="I21" s="183">
        <f>G21+H21</f>
        <v>227.7</v>
      </c>
      <c r="J21" s="211"/>
      <c r="K21" s="198"/>
      <c r="L21" s="218">
        <v>275</v>
      </c>
      <c r="M21" s="199">
        <f t="shared" si="0"/>
        <v>275</v>
      </c>
      <c r="N21" s="219"/>
      <c r="O21" s="183">
        <f>M21+N21</f>
        <v>275</v>
      </c>
      <c r="P21" s="209"/>
      <c r="Q21" s="194"/>
      <c r="R21" s="218">
        <v>161</v>
      </c>
      <c r="S21" s="195">
        <f t="shared" si="7"/>
        <v>161</v>
      </c>
      <c r="T21" s="219"/>
      <c r="U21" s="183">
        <f>S21+T21</f>
        <v>161</v>
      </c>
      <c r="V21" s="211"/>
      <c r="W21" s="198"/>
      <c r="X21" s="218">
        <v>395</v>
      </c>
      <c r="Y21" s="199">
        <f t="shared" si="1"/>
        <v>395</v>
      </c>
      <c r="Z21" s="219"/>
      <c r="AA21" s="189">
        <f t="shared" si="2"/>
        <v>395</v>
      </c>
      <c r="AB21" s="190">
        <f t="shared" si="3"/>
        <v>1.4363636363636363</v>
      </c>
      <c r="AC21" s="166"/>
      <c r="AD21" s="166"/>
    </row>
    <row r="22" spans="1:30" x14ac:dyDescent="0.25">
      <c r="A22" s="164"/>
      <c r="B22" s="191" t="s">
        <v>37</v>
      </c>
      <c r="C22" s="217" t="s">
        <v>38</v>
      </c>
      <c r="D22" s="209"/>
      <c r="E22" s="194"/>
      <c r="F22" s="218">
        <v>612</v>
      </c>
      <c r="G22" s="195">
        <f t="shared" si="4"/>
        <v>612</v>
      </c>
      <c r="H22" s="219"/>
      <c r="I22" s="183">
        <f t="shared" ref="I22:I23" si="9">G22+H22</f>
        <v>612</v>
      </c>
      <c r="J22" s="211"/>
      <c r="K22" s="198"/>
      <c r="L22" s="218">
        <v>670</v>
      </c>
      <c r="M22" s="199">
        <f t="shared" si="0"/>
        <v>670</v>
      </c>
      <c r="N22" s="219"/>
      <c r="O22" s="183">
        <f t="shared" si="6"/>
        <v>670</v>
      </c>
      <c r="P22" s="209"/>
      <c r="Q22" s="194"/>
      <c r="R22" s="218">
        <v>367.4</v>
      </c>
      <c r="S22" s="195">
        <f t="shared" si="7"/>
        <v>367.4</v>
      </c>
      <c r="T22" s="219"/>
      <c r="U22" s="183">
        <f t="shared" ref="U22:U23" si="10">S22+T22</f>
        <v>367.4</v>
      </c>
      <c r="V22" s="211"/>
      <c r="W22" s="198"/>
      <c r="X22" s="218">
        <v>730</v>
      </c>
      <c r="Y22" s="199">
        <f t="shared" si="1"/>
        <v>730</v>
      </c>
      <c r="Z22" s="219"/>
      <c r="AA22" s="189">
        <f t="shared" si="2"/>
        <v>730</v>
      </c>
      <c r="AB22" s="190">
        <f t="shared" si="3"/>
        <v>1.0895522388059702</v>
      </c>
      <c r="AC22" s="166"/>
      <c r="AD22" s="166"/>
    </row>
    <row r="23" spans="1:30" ht="15.75" thickBot="1" x14ac:dyDescent="0.3">
      <c r="A23" s="164"/>
      <c r="B23" s="220" t="s">
        <v>39</v>
      </c>
      <c r="C23" s="221" t="s">
        <v>40</v>
      </c>
      <c r="D23" s="222"/>
      <c r="E23" s="223"/>
      <c r="F23" s="224">
        <v>90</v>
      </c>
      <c r="G23" s="225">
        <f t="shared" si="4"/>
        <v>90</v>
      </c>
      <c r="H23" s="226"/>
      <c r="I23" s="227">
        <f t="shared" si="9"/>
        <v>90</v>
      </c>
      <c r="J23" s="228"/>
      <c r="K23" s="229"/>
      <c r="L23" s="224">
        <v>25</v>
      </c>
      <c r="M23" s="230">
        <f t="shared" si="0"/>
        <v>25</v>
      </c>
      <c r="N23" s="226"/>
      <c r="O23" s="227">
        <f t="shared" si="6"/>
        <v>25</v>
      </c>
      <c r="P23" s="222"/>
      <c r="Q23" s="223"/>
      <c r="R23" s="224">
        <v>16.2</v>
      </c>
      <c r="S23" s="225">
        <f t="shared" si="7"/>
        <v>16.2</v>
      </c>
      <c r="T23" s="226"/>
      <c r="U23" s="227">
        <f t="shared" si="10"/>
        <v>16.2</v>
      </c>
      <c r="V23" s="228"/>
      <c r="W23" s="229"/>
      <c r="X23" s="224">
        <v>30</v>
      </c>
      <c r="Y23" s="230">
        <f t="shared" si="1"/>
        <v>30</v>
      </c>
      <c r="Z23" s="226"/>
      <c r="AA23" s="231">
        <f t="shared" si="2"/>
        <v>30</v>
      </c>
      <c r="AB23" s="232">
        <f t="shared" si="3"/>
        <v>1.2</v>
      </c>
      <c r="AC23" s="166"/>
      <c r="AD23" s="166"/>
    </row>
    <row r="24" spans="1:30" ht="15.75" thickBot="1" x14ac:dyDescent="0.3">
      <c r="A24" s="164"/>
      <c r="B24" s="233" t="s">
        <v>41</v>
      </c>
      <c r="C24" s="234" t="s">
        <v>42</v>
      </c>
      <c r="D24" s="235">
        <f>SUM(D15:D21)</f>
        <v>25526</v>
      </c>
      <c r="E24" s="236">
        <f>SUM(E15:E21)</f>
        <v>1552.8000000000002</v>
      </c>
      <c r="F24" s="236">
        <f>SUM(F15:F21)</f>
        <v>2316.5</v>
      </c>
      <c r="G24" s="237">
        <f>SUM(D24:F24)</f>
        <v>29395.3</v>
      </c>
      <c r="H24" s="238">
        <f>SUM(H15:H21)</f>
        <v>0</v>
      </c>
      <c r="I24" s="238">
        <f>SUM(I15:I21)</f>
        <v>29395.3</v>
      </c>
      <c r="J24" s="235">
        <f>SUM(J15:J21)</f>
        <v>28027</v>
      </c>
      <c r="K24" s="236">
        <f>SUM(K15:K21)</f>
        <v>1427.8</v>
      </c>
      <c r="L24" s="236">
        <f>SUM(L15:L21)</f>
        <v>3174</v>
      </c>
      <c r="M24" s="237">
        <f t="shared" ref="M24" si="11">SUM(J24:L24)</f>
        <v>32628.799999999999</v>
      </c>
      <c r="N24" s="238">
        <f>SUM(N15:N21)</f>
        <v>0</v>
      </c>
      <c r="O24" s="238">
        <f>SUM(O15:O21)</f>
        <v>32628.799999999999</v>
      </c>
      <c r="P24" s="235">
        <f>SUM(P15:P21)</f>
        <v>14013.5</v>
      </c>
      <c r="Q24" s="236">
        <f>SUM(Q15:Q21)</f>
        <v>1369.1000000000001</v>
      </c>
      <c r="R24" s="236">
        <f>SUM(R15:R21)</f>
        <v>1829</v>
      </c>
      <c r="S24" s="237">
        <f t="shared" ref="S24" si="12">SUM(P24:R24)</f>
        <v>17211.599999999999</v>
      </c>
      <c r="T24" s="238">
        <f>SUM(T15:T21)</f>
        <v>0</v>
      </c>
      <c r="U24" s="238">
        <f>SUM(U15:U21)</f>
        <v>17211.599999999999</v>
      </c>
      <c r="V24" s="235">
        <f>SUM(V15:V21)</f>
        <v>28664</v>
      </c>
      <c r="W24" s="236">
        <f>SUM(W15:W21)</f>
        <v>1300</v>
      </c>
      <c r="X24" s="236">
        <f>SUM(X15:X21)</f>
        <v>3399</v>
      </c>
      <c r="Y24" s="237">
        <f t="shared" si="1"/>
        <v>33363</v>
      </c>
      <c r="Z24" s="238">
        <f>SUM(Z15:Z21)</f>
        <v>0</v>
      </c>
      <c r="AA24" s="238">
        <f>SUM(AA15:AA21)</f>
        <v>33363</v>
      </c>
      <c r="AB24" s="239">
        <f t="shared" si="3"/>
        <v>1.0225015936841073</v>
      </c>
      <c r="AC24" s="166"/>
      <c r="AD24" s="166"/>
    </row>
    <row r="25" spans="1:30" ht="15.75" customHeight="1" thickBot="1" x14ac:dyDescent="0.3">
      <c r="A25" s="164"/>
      <c r="B25" s="240"/>
      <c r="C25" s="241"/>
      <c r="D25" s="819" t="s">
        <v>43</v>
      </c>
      <c r="E25" s="819"/>
      <c r="F25" s="819"/>
      <c r="G25" s="819"/>
      <c r="H25" s="819"/>
      <c r="I25" s="819"/>
      <c r="J25" s="819" t="s">
        <v>43</v>
      </c>
      <c r="K25" s="819"/>
      <c r="L25" s="819"/>
      <c r="M25" s="819"/>
      <c r="N25" s="819"/>
      <c r="O25" s="819"/>
      <c r="P25" s="819" t="s">
        <v>43</v>
      </c>
      <c r="Q25" s="819"/>
      <c r="R25" s="819"/>
      <c r="S25" s="819"/>
      <c r="T25" s="819"/>
      <c r="U25" s="819"/>
      <c r="V25" s="819" t="s">
        <v>43</v>
      </c>
      <c r="W25" s="819"/>
      <c r="X25" s="819"/>
      <c r="Y25" s="819"/>
      <c r="Z25" s="819"/>
      <c r="AA25" s="819"/>
      <c r="AB25" s="820" t="s">
        <v>140</v>
      </c>
      <c r="AC25" s="166"/>
      <c r="AD25" s="166"/>
    </row>
    <row r="26" spans="1:30" ht="15.75" customHeight="1" thickBot="1" x14ac:dyDescent="0.3">
      <c r="A26" s="164"/>
      <c r="B26" s="816" t="s">
        <v>6</v>
      </c>
      <c r="C26" s="817" t="s">
        <v>7</v>
      </c>
      <c r="D26" s="814" t="s">
        <v>141</v>
      </c>
      <c r="E26" s="814"/>
      <c r="F26" s="814"/>
      <c r="G26" s="815" t="s">
        <v>45</v>
      </c>
      <c r="H26" s="810" t="s">
        <v>46</v>
      </c>
      <c r="I26" s="811" t="s">
        <v>43</v>
      </c>
      <c r="J26" s="814" t="s">
        <v>141</v>
      </c>
      <c r="K26" s="814"/>
      <c r="L26" s="814"/>
      <c r="M26" s="815" t="s">
        <v>45</v>
      </c>
      <c r="N26" s="810" t="s">
        <v>46</v>
      </c>
      <c r="O26" s="811" t="s">
        <v>43</v>
      </c>
      <c r="P26" s="814" t="s">
        <v>141</v>
      </c>
      <c r="Q26" s="814"/>
      <c r="R26" s="814"/>
      <c r="S26" s="815" t="s">
        <v>45</v>
      </c>
      <c r="T26" s="810" t="s">
        <v>46</v>
      </c>
      <c r="U26" s="811" t="s">
        <v>43</v>
      </c>
      <c r="V26" s="814" t="s">
        <v>141</v>
      </c>
      <c r="W26" s="814"/>
      <c r="X26" s="814"/>
      <c r="Y26" s="815" t="s">
        <v>45</v>
      </c>
      <c r="Z26" s="810" t="s">
        <v>46</v>
      </c>
      <c r="AA26" s="811" t="s">
        <v>43</v>
      </c>
      <c r="AB26" s="820"/>
      <c r="AC26" s="166"/>
      <c r="AD26" s="166"/>
    </row>
    <row r="27" spans="1:30" ht="15.75" thickBot="1" x14ac:dyDescent="0.3">
      <c r="A27" s="164"/>
      <c r="B27" s="816"/>
      <c r="C27" s="817"/>
      <c r="D27" s="242" t="s">
        <v>47</v>
      </c>
      <c r="E27" s="243" t="s">
        <v>48</v>
      </c>
      <c r="F27" s="244" t="s">
        <v>49</v>
      </c>
      <c r="G27" s="815"/>
      <c r="H27" s="810"/>
      <c r="I27" s="811"/>
      <c r="J27" s="242" t="s">
        <v>47</v>
      </c>
      <c r="K27" s="243" t="s">
        <v>48</v>
      </c>
      <c r="L27" s="244" t="s">
        <v>49</v>
      </c>
      <c r="M27" s="815"/>
      <c r="N27" s="810"/>
      <c r="O27" s="811"/>
      <c r="P27" s="242" t="s">
        <v>47</v>
      </c>
      <c r="Q27" s="243" t="s">
        <v>48</v>
      </c>
      <c r="R27" s="244" t="s">
        <v>49</v>
      </c>
      <c r="S27" s="815"/>
      <c r="T27" s="810"/>
      <c r="U27" s="811"/>
      <c r="V27" s="242" t="s">
        <v>47</v>
      </c>
      <c r="W27" s="243" t="s">
        <v>48</v>
      </c>
      <c r="X27" s="244" t="s">
        <v>49</v>
      </c>
      <c r="Y27" s="815"/>
      <c r="Z27" s="810"/>
      <c r="AA27" s="811"/>
      <c r="AB27" s="820"/>
      <c r="AC27" s="166"/>
      <c r="AD27" s="166"/>
    </row>
    <row r="28" spans="1:30" x14ac:dyDescent="0.25">
      <c r="A28" s="164"/>
      <c r="B28" s="176" t="s">
        <v>50</v>
      </c>
      <c r="C28" s="177" t="s">
        <v>51</v>
      </c>
      <c r="D28" s="245">
        <v>1703.4</v>
      </c>
      <c r="E28" s="246"/>
      <c r="F28" s="246"/>
      <c r="G28" s="247">
        <f>SUM(D28:F28)</f>
        <v>1703.4</v>
      </c>
      <c r="H28" s="247"/>
      <c r="I28" s="248">
        <f>G28+H28</f>
        <v>1703.4</v>
      </c>
      <c r="J28" s="245">
        <v>2000</v>
      </c>
      <c r="K28" s="246"/>
      <c r="L28" s="246"/>
      <c r="M28" s="247">
        <f t="shared" ref="M28:M38" si="13">SUM(J28:L28)</f>
        <v>2000</v>
      </c>
      <c r="N28" s="247"/>
      <c r="O28" s="248">
        <f>M28+N28</f>
        <v>2000</v>
      </c>
      <c r="P28" s="245">
        <v>70.900000000000006</v>
      </c>
      <c r="Q28" s="246"/>
      <c r="R28" s="246"/>
      <c r="S28" s="247">
        <f>SUM(P28:R28)</f>
        <v>70.900000000000006</v>
      </c>
      <c r="T28" s="247"/>
      <c r="U28" s="248">
        <f>S28+T28</f>
        <v>70.900000000000006</v>
      </c>
      <c r="V28" s="245">
        <v>1500</v>
      </c>
      <c r="W28" s="246"/>
      <c r="X28" s="246"/>
      <c r="Y28" s="247">
        <f t="shared" ref="Y28:Y39" si="14">SUM(V28:X28)</f>
        <v>1500</v>
      </c>
      <c r="Z28" s="247"/>
      <c r="AA28" s="249">
        <f t="shared" ref="AA28:AA38" si="15">Y28+Z28</f>
        <v>1500</v>
      </c>
      <c r="AB28" s="190">
        <f t="shared" ref="AB28:AB41" si="16">(AA28/O28)</f>
        <v>0.75</v>
      </c>
      <c r="AC28" s="166"/>
      <c r="AD28" s="166"/>
    </row>
    <row r="29" spans="1:30" x14ac:dyDescent="0.25">
      <c r="A29" s="164"/>
      <c r="B29" s="191" t="s">
        <v>52</v>
      </c>
      <c r="C29" s="217" t="s">
        <v>53</v>
      </c>
      <c r="D29" s="250">
        <v>163.80000000000001</v>
      </c>
      <c r="E29" s="251">
        <f>512.5+73.1</f>
        <v>585.6</v>
      </c>
      <c r="F29" s="251">
        <v>2000</v>
      </c>
      <c r="G29" s="252">
        <f t="shared" ref="G29:G38" si="17">SUM(D29:F29)</f>
        <v>2749.4</v>
      </c>
      <c r="H29" s="253"/>
      <c r="I29" s="183">
        <f t="shared" ref="I29:I38" si="18">G29+H29</f>
        <v>2749.4</v>
      </c>
      <c r="J29" s="254">
        <v>330</v>
      </c>
      <c r="K29" s="255">
        <v>427</v>
      </c>
      <c r="L29" s="255">
        <v>2430</v>
      </c>
      <c r="M29" s="252">
        <f t="shared" si="13"/>
        <v>3187</v>
      </c>
      <c r="N29" s="253"/>
      <c r="O29" s="183">
        <f t="shared" ref="O29:O38" si="19">M29+N29</f>
        <v>3187</v>
      </c>
      <c r="P29" s="250">
        <f>1235.2-700</f>
        <v>535.20000000000005</v>
      </c>
      <c r="Q29" s="251">
        <v>267.3</v>
      </c>
      <c r="R29" s="251">
        <v>700</v>
      </c>
      <c r="S29" s="252">
        <f t="shared" ref="S29:S38" si="20">SUM(P29:R29)</f>
        <v>1502.5</v>
      </c>
      <c r="T29" s="253"/>
      <c r="U29" s="183">
        <f t="shared" ref="U29:U38" si="21">S29+T29</f>
        <v>1502.5</v>
      </c>
      <c r="V29" s="254">
        <v>295</v>
      </c>
      <c r="W29" s="255">
        <v>398</v>
      </c>
      <c r="X29" s="255">
        <v>2600</v>
      </c>
      <c r="Y29" s="252">
        <f t="shared" si="14"/>
        <v>3293</v>
      </c>
      <c r="Z29" s="252"/>
      <c r="AA29" s="189">
        <f t="shared" si="15"/>
        <v>3293</v>
      </c>
      <c r="AB29" s="190">
        <f t="shared" si="16"/>
        <v>1.0332601192343898</v>
      </c>
      <c r="AC29" s="166"/>
      <c r="AD29" s="166"/>
    </row>
    <row r="30" spans="1:30" x14ac:dyDescent="0.25">
      <c r="A30" s="164"/>
      <c r="B30" s="191" t="s">
        <v>54</v>
      </c>
      <c r="C30" s="217" t="s">
        <v>55</v>
      </c>
      <c r="D30" s="254">
        <v>1535.7</v>
      </c>
      <c r="E30" s="255"/>
      <c r="F30" s="255"/>
      <c r="G30" s="252">
        <f t="shared" si="17"/>
        <v>1535.7</v>
      </c>
      <c r="H30" s="252"/>
      <c r="I30" s="183">
        <f t="shared" si="18"/>
        <v>1535.7</v>
      </c>
      <c r="J30" s="254">
        <f>1833+865+116</f>
        <v>2814</v>
      </c>
      <c r="K30" s="255">
        <v>5</v>
      </c>
      <c r="L30" s="255"/>
      <c r="M30" s="252">
        <f t="shared" si="13"/>
        <v>2819</v>
      </c>
      <c r="N30" s="252"/>
      <c r="O30" s="183">
        <f t="shared" si="19"/>
        <v>2819</v>
      </c>
      <c r="P30" s="254">
        <v>1091.8</v>
      </c>
      <c r="Q30" s="255"/>
      <c r="R30" s="255"/>
      <c r="S30" s="252">
        <f t="shared" si="20"/>
        <v>1091.8</v>
      </c>
      <c r="T30" s="252"/>
      <c r="U30" s="183">
        <f t="shared" si="21"/>
        <v>1091.8</v>
      </c>
      <c r="V30" s="254">
        <v>2400</v>
      </c>
      <c r="W30" s="255">
        <v>5</v>
      </c>
      <c r="X30" s="255"/>
      <c r="Y30" s="252">
        <f t="shared" si="14"/>
        <v>2405</v>
      </c>
      <c r="Z30" s="252"/>
      <c r="AA30" s="189">
        <f t="shared" si="15"/>
        <v>2405</v>
      </c>
      <c r="AB30" s="190">
        <f t="shared" si="16"/>
        <v>0.85313941113870162</v>
      </c>
      <c r="AC30" s="166"/>
      <c r="AD30" s="166"/>
    </row>
    <row r="31" spans="1:30" x14ac:dyDescent="0.25">
      <c r="A31" s="164"/>
      <c r="B31" s="191" t="s">
        <v>56</v>
      </c>
      <c r="C31" s="217" t="s">
        <v>57</v>
      </c>
      <c r="D31" s="254">
        <v>1961.2</v>
      </c>
      <c r="E31" s="255">
        <v>160.6</v>
      </c>
      <c r="F31" s="255">
        <v>250</v>
      </c>
      <c r="G31" s="252">
        <f t="shared" si="17"/>
        <v>2371.8000000000002</v>
      </c>
      <c r="H31" s="252"/>
      <c r="I31" s="183">
        <f t="shared" si="18"/>
        <v>2371.8000000000002</v>
      </c>
      <c r="J31" s="254">
        <v>1985</v>
      </c>
      <c r="K31" s="255">
        <f>56+87.8</f>
        <v>143.80000000000001</v>
      </c>
      <c r="L31" s="255">
        <f>500-45</f>
        <v>455</v>
      </c>
      <c r="M31" s="252">
        <f t="shared" si="13"/>
        <v>2583.8000000000002</v>
      </c>
      <c r="N31" s="252"/>
      <c r="O31" s="183">
        <f t="shared" si="19"/>
        <v>2583.8000000000002</v>
      </c>
      <c r="P31" s="254">
        <f>1547.3-950</f>
        <v>597.29999999999995</v>
      </c>
      <c r="Q31" s="255">
        <f>52.6+87.8</f>
        <v>140.4</v>
      </c>
      <c r="R31" s="255">
        <v>950</v>
      </c>
      <c r="S31" s="252">
        <f t="shared" si="20"/>
        <v>1687.6999999999998</v>
      </c>
      <c r="T31" s="252"/>
      <c r="U31" s="183">
        <f t="shared" si="21"/>
        <v>1687.6999999999998</v>
      </c>
      <c r="V31" s="254">
        <v>2065</v>
      </c>
      <c r="W31" s="255">
        <v>56</v>
      </c>
      <c r="X31" s="255">
        <v>500</v>
      </c>
      <c r="Y31" s="252">
        <f t="shared" si="14"/>
        <v>2621</v>
      </c>
      <c r="Z31" s="252"/>
      <c r="AA31" s="189">
        <f t="shared" si="15"/>
        <v>2621</v>
      </c>
      <c r="AB31" s="190">
        <f t="shared" si="16"/>
        <v>1.014397399179503</v>
      </c>
      <c r="AC31" s="166"/>
      <c r="AD31" s="166"/>
    </row>
    <row r="32" spans="1:30" x14ac:dyDescent="0.25">
      <c r="A32" s="164"/>
      <c r="B32" s="191" t="s">
        <v>58</v>
      </c>
      <c r="C32" s="217" t="s">
        <v>59</v>
      </c>
      <c r="D32" s="254">
        <v>13362.8</v>
      </c>
      <c r="E32" s="255">
        <v>552.5</v>
      </c>
      <c r="F32" s="255"/>
      <c r="G32" s="252">
        <f t="shared" si="17"/>
        <v>13915.3</v>
      </c>
      <c r="H32" s="252"/>
      <c r="I32" s="183">
        <f t="shared" si="18"/>
        <v>13915.3</v>
      </c>
      <c r="J32" s="256">
        <f>SUM(J33:J34)</f>
        <v>14505</v>
      </c>
      <c r="K32" s="255">
        <f>SUM(K33:K34)</f>
        <v>629</v>
      </c>
      <c r="L32" s="255"/>
      <c r="M32" s="252">
        <f t="shared" si="13"/>
        <v>15134</v>
      </c>
      <c r="N32" s="252"/>
      <c r="O32" s="183">
        <f t="shared" si="19"/>
        <v>15134</v>
      </c>
      <c r="P32" s="254">
        <f>SUM(P33:P34)</f>
        <v>6858.1</v>
      </c>
      <c r="Q32" s="255">
        <f>SUM(Q33:Q34)</f>
        <v>292.09999999999997</v>
      </c>
      <c r="R32" s="255"/>
      <c r="S32" s="252">
        <f t="shared" si="20"/>
        <v>7150.2000000000007</v>
      </c>
      <c r="T32" s="252"/>
      <c r="U32" s="183">
        <f t="shared" si="21"/>
        <v>7150.2000000000007</v>
      </c>
      <c r="V32" s="256">
        <f>SUM(V33:V34)</f>
        <v>15555</v>
      </c>
      <c r="W32" s="255">
        <f>SUM(W33:W34)</f>
        <v>615</v>
      </c>
      <c r="X32" s="255"/>
      <c r="Y32" s="252">
        <f t="shared" si="14"/>
        <v>16170</v>
      </c>
      <c r="Z32" s="252"/>
      <c r="AA32" s="189">
        <f t="shared" si="15"/>
        <v>16170</v>
      </c>
      <c r="AB32" s="190">
        <f t="shared" si="16"/>
        <v>1.0684551341350601</v>
      </c>
      <c r="AC32" s="166"/>
      <c r="AD32" s="166"/>
    </row>
    <row r="33" spans="1:30" x14ac:dyDescent="0.25">
      <c r="A33" s="164"/>
      <c r="B33" s="191" t="s">
        <v>60</v>
      </c>
      <c r="C33" s="257" t="s">
        <v>61</v>
      </c>
      <c r="D33" s="254">
        <v>12788.2</v>
      </c>
      <c r="E33" s="255">
        <v>538.1</v>
      </c>
      <c r="F33" s="255"/>
      <c r="G33" s="252">
        <f t="shared" si="17"/>
        <v>13326.300000000001</v>
      </c>
      <c r="H33" s="252"/>
      <c r="I33" s="183">
        <f t="shared" si="18"/>
        <v>13326.300000000001</v>
      </c>
      <c r="J33" s="256">
        <v>13350</v>
      </c>
      <c r="K33" s="255">
        <f>548+31</f>
        <v>579</v>
      </c>
      <c r="L33" s="255"/>
      <c r="M33" s="252">
        <f t="shared" si="13"/>
        <v>13929</v>
      </c>
      <c r="N33" s="252"/>
      <c r="O33" s="183">
        <f t="shared" si="19"/>
        <v>13929</v>
      </c>
      <c r="P33" s="254">
        <f>6281.9+126.6+20.1</f>
        <v>6428.6</v>
      </c>
      <c r="Q33" s="255">
        <f>255.8+31.4</f>
        <v>287.2</v>
      </c>
      <c r="R33" s="255"/>
      <c r="S33" s="252">
        <f t="shared" si="20"/>
        <v>6715.8</v>
      </c>
      <c r="T33" s="252"/>
      <c r="U33" s="183">
        <f t="shared" si="21"/>
        <v>6715.8</v>
      </c>
      <c r="V33" s="256">
        <v>14400</v>
      </c>
      <c r="W33" s="255">
        <v>585</v>
      </c>
      <c r="X33" s="255"/>
      <c r="Y33" s="252">
        <f t="shared" si="14"/>
        <v>14985</v>
      </c>
      <c r="Z33" s="252"/>
      <c r="AA33" s="189">
        <f t="shared" si="15"/>
        <v>14985</v>
      </c>
      <c r="AB33" s="190">
        <f t="shared" si="16"/>
        <v>1.0758130519060951</v>
      </c>
      <c r="AC33" s="166"/>
      <c r="AD33" s="166"/>
    </row>
    <row r="34" spans="1:30" x14ac:dyDescent="0.25">
      <c r="A34" s="164"/>
      <c r="B34" s="191" t="s">
        <v>62</v>
      </c>
      <c r="C34" s="258" t="s">
        <v>63</v>
      </c>
      <c r="D34" s="254">
        <v>574.6</v>
      </c>
      <c r="E34" s="255">
        <v>14.4</v>
      </c>
      <c r="F34" s="255"/>
      <c r="G34" s="252">
        <f t="shared" si="17"/>
        <v>589</v>
      </c>
      <c r="H34" s="252"/>
      <c r="I34" s="183">
        <f t="shared" si="18"/>
        <v>589</v>
      </c>
      <c r="J34" s="256">
        <v>1155</v>
      </c>
      <c r="K34" s="255">
        <v>50</v>
      </c>
      <c r="L34" s="255"/>
      <c r="M34" s="252">
        <f t="shared" si="13"/>
        <v>1205</v>
      </c>
      <c r="N34" s="252"/>
      <c r="O34" s="183">
        <f t="shared" si="19"/>
        <v>1205</v>
      </c>
      <c r="P34" s="259">
        <v>429.5</v>
      </c>
      <c r="Q34" s="255">
        <v>4.9000000000000004</v>
      </c>
      <c r="R34" s="255"/>
      <c r="S34" s="252">
        <f t="shared" si="20"/>
        <v>434.4</v>
      </c>
      <c r="T34" s="252"/>
      <c r="U34" s="183">
        <f t="shared" si="21"/>
        <v>434.4</v>
      </c>
      <c r="V34" s="256">
        <v>1155</v>
      </c>
      <c r="W34" s="255">
        <v>30</v>
      </c>
      <c r="X34" s="255"/>
      <c r="Y34" s="252">
        <f t="shared" si="14"/>
        <v>1185</v>
      </c>
      <c r="Z34" s="252"/>
      <c r="AA34" s="189">
        <f t="shared" si="15"/>
        <v>1185</v>
      </c>
      <c r="AB34" s="190">
        <f t="shared" si="16"/>
        <v>0.98340248962655596</v>
      </c>
      <c r="AC34" s="166"/>
      <c r="AD34" s="166"/>
    </row>
    <row r="35" spans="1:30" x14ac:dyDescent="0.25">
      <c r="A35" s="164"/>
      <c r="B35" s="191" t="s">
        <v>64</v>
      </c>
      <c r="C35" s="217" t="s">
        <v>65</v>
      </c>
      <c r="D35" s="254">
        <v>4272.8</v>
      </c>
      <c r="E35" s="255">
        <v>183.4</v>
      </c>
      <c r="F35" s="255"/>
      <c r="G35" s="252">
        <f t="shared" si="17"/>
        <v>4456.2</v>
      </c>
      <c r="H35" s="252"/>
      <c r="I35" s="183">
        <f t="shared" si="18"/>
        <v>4456.2</v>
      </c>
      <c r="J35" s="256">
        <v>4550</v>
      </c>
      <c r="K35" s="255">
        <f>186+9</f>
        <v>195</v>
      </c>
      <c r="L35" s="255"/>
      <c r="M35" s="252">
        <f t="shared" si="13"/>
        <v>4745</v>
      </c>
      <c r="N35" s="252"/>
      <c r="O35" s="183">
        <f t="shared" si="19"/>
        <v>4745</v>
      </c>
      <c r="P35" s="254">
        <f>2110.4+17.7</f>
        <v>2128.1</v>
      </c>
      <c r="Q35" s="255">
        <f>87.2+7.1</f>
        <v>94.3</v>
      </c>
      <c r="R35" s="255"/>
      <c r="S35" s="252">
        <f t="shared" si="20"/>
        <v>2222.4</v>
      </c>
      <c r="T35" s="252"/>
      <c r="U35" s="183">
        <f t="shared" si="21"/>
        <v>2222.4</v>
      </c>
      <c r="V35" s="256">
        <v>4920</v>
      </c>
      <c r="W35" s="255">
        <v>198</v>
      </c>
      <c r="X35" s="255"/>
      <c r="Y35" s="252">
        <f t="shared" si="14"/>
        <v>5118</v>
      </c>
      <c r="Z35" s="252"/>
      <c r="AA35" s="189">
        <f t="shared" si="15"/>
        <v>5118</v>
      </c>
      <c r="AB35" s="190">
        <f t="shared" si="16"/>
        <v>1.0786090621707061</v>
      </c>
      <c r="AC35" s="166"/>
      <c r="AD35" s="166"/>
    </row>
    <row r="36" spans="1:30" x14ac:dyDescent="0.25">
      <c r="A36" s="164"/>
      <c r="B36" s="191" t="s">
        <v>66</v>
      </c>
      <c r="C36" s="217" t="s">
        <v>67</v>
      </c>
      <c r="D36" s="254">
        <v>131.30000000000001</v>
      </c>
      <c r="E36" s="255"/>
      <c r="F36" s="255"/>
      <c r="G36" s="252">
        <f t="shared" si="17"/>
        <v>131.30000000000001</v>
      </c>
      <c r="H36" s="252"/>
      <c r="I36" s="183">
        <f t="shared" si="18"/>
        <v>131.30000000000001</v>
      </c>
      <c r="J36" s="254">
        <v>20</v>
      </c>
      <c r="K36" s="255">
        <v>0</v>
      </c>
      <c r="L36" s="255"/>
      <c r="M36" s="252">
        <f t="shared" si="13"/>
        <v>20</v>
      </c>
      <c r="N36" s="252"/>
      <c r="O36" s="183">
        <f t="shared" si="19"/>
        <v>20</v>
      </c>
      <c r="P36" s="254">
        <v>7.6</v>
      </c>
      <c r="Q36" s="255"/>
      <c r="R36" s="255"/>
      <c r="S36" s="252">
        <f t="shared" si="20"/>
        <v>7.6</v>
      </c>
      <c r="T36" s="252"/>
      <c r="U36" s="183">
        <f t="shared" si="21"/>
        <v>7.6</v>
      </c>
      <c r="V36" s="254">
        <v>20</v>
      </c>
      <c r="W36" s="255">
        <v>0</v>
      </c>
      <c r="X36" s="255"/>
      <c r="Y36" s="252">
        <f t="shared" si="14"/>
        <v>20</v>
      </c>
      <c r="Z36" s="252"/>
      <c r="AA36" s="189">
        <f t="shared" si="15"/>
        <v>20</v>
      </c>
      <c r="AB36" s="190">
        <f t="shared" si="16"/>
        <v>1</v>
      </c>
      <c r="AC36" s="166"/>
      <c r="AD36" s="166"/>
    </row>
    <row r="37" spans="1:30" x14ac:dyDescent="0.25">
      <c r="A37" s="164"/>
      <c r="B37" s="191" t="s">
        <v>68</v>
      </c>
      <c r="C37" s="217" t="s">
        <v>69</v>
      </c>
      <c r="D37" s="254">
        <v>521.5</v>
      </c>
      <c r="E37" s="255"/>
      <c r="F37" s="255"/>
      <c r="G37" s="252">
        <f t="shared" si="17"/>
        <v>521.5</v>
      </c>
      <c r="H37" s="252"/>
      <c r="I37" s="183">
        <f t="shared" si="18"/>
        <v>521.5</v>
      </c>
      <c r="J37" s="254">
        <v>545</v>
      </c>
      <c r="K37" s="255">
        <v>0</v>
      </c>
      <c r="L37" s="255"/>
      <c r="M37" s="252">
        <f t="shared" si="13"/>
        <v>545</v>
      </c>
      <c r="N37" s="252"/>
      <c r="O37" s="183">
        <f t="shared" si="19"/>
        <v>545</v>
      </c>
      <c r="P37" s="254">
        <v>283.60000000000002</v>
      </c>
      <c r="Q37" s="255"/>
      <c r="R37" s="255"/>
      <c r="S37" s="252">
        <f t="shared" si="20"/>
        <v>283.60000000000002</v>
      </c>
      <c r="T37" s="252"/>
      <c r="U37" s="183">
        <f t="shared" si="21"/>
        <v>283.60000000000002</v>
      </c>
      <c r="V37" s="254">
        <v>580</v>
      </c>
      <c r="W37" s="255">
        <v>0</v>
      </c>
      <c r="X37" s="255"/>
      <c r="Y37" s="252">
        <f t="shared" si="14"/>
        <v>580</v>
      </c>
      <c r="Z37" s="252"/>
      <c r="AA37" s="189">
        <f t="shared" si="15"/>
        <v>580</v>
      </c>
      <c r="AB37" s="190">
        <f t="shared" si="16"/>
        <v>1.0642201834862386</v>
      </c>
      <c r="AC37" s="166"/>
      <c r="AD37" s="166"/>
    </row>
    <row r="38" spans="1:30" ht="15.75" thickBot="1" x14ac:dyDescent="0.3">
      <c r="A38" s="164"/>
      <c r="B38" s="260" t="s">
        <v>70</v>
      </c>
      <c r="C38" s="261" t="s">
        <v>71</v>
      </c>
      <c r="D38" s="262">
        <f>1665.7+6.9+2.7</f>
        <v>1675.3000000000002</v>
      </c>
      <c r="E38" s="263">
        <f>33.7+37</f>
        <v>70.7</v>
      </c>
      <c r="F38" s="263"/>
      <c r="G38" s="264">
        <f t="shared" si="17"/>
        <v>1746.0000000000002</v>
      </c>
      <c r="H38" s="264"/>
      <c r="I38" s="227">
        <f t="shared" si="18"/>
        <v>1746.0000000000002</v>
      </c>
      <c r="J38" s="262">
        <f>1278+12-12</f>
        <v>1278</v>
      </c>
      <c r="K38" s="263">
        <v>28</v>
      </c>
      <c r="L38" s="263">
        <v>289</v>
      </c>
      <c r="M38" s="264">
        <f t="shared" si="13"/>
        <v>1595</v>
      </c>
      <c r="N38" s="264"/>
      <c r="O38" s="227">
        <f t="shared" si="19"/>
        <v>1595</v>
      </c>
      <c r="P38" s="262">
        <f>600.4-120</f>
        <v>480.4</v>
      </c>
      <c r="Q38" s="263">
        <v>11.8</v>
      </c>
      <c r="R38" s="263">
        <v>120</v>
      </c>
      <c r="S38" s="264">
        <f t="shared" si="20"/>
        <v>612.20000000000005</v>
      </c>
      <c r="T38" s="264"/>
      <c r="U38" s="227">
        <f t="shared" si="21"/>
        <v>612.20000000000005</v>
      </c>
      <c r="V38" s="262">
        <v>1329</v>
      </c>
      <c r="W38" s="263">
        <v>28</v>
      </c>
      <c r="X38" s="263">
        <v>299</v>
      </c>
      <c r="Y38" s="264">
        <f t="shared" si="14"/>
        <v>1656</v>
      </c>
      <c r="Z38" s="264"/>
      <c r="AA38" s="231">
        <f t="shared" si="15"/>
        <v>1656</v>
      </c>
      <c r="AB38" s="232">
        <f t="shared" si="16"/>
        <v>1.038244514106583</v>
      </c>
      <c r="AC38" s="166"/>
      <c r="AD38" s="166"/>
    </row>
    <row r="39" spans="1:30" ht="15.75" thickBot="1" x14ac:dyDescent="0.3">
      <c r="A39" s="164"/>
      <c r="B39" s="233" t="s">
        <v>72</v>
      </c>
      <c r="C39" s="265" t="s">
        <v>73</v>
      </c>
      <c r="D39" s="266">
        <f>SUM(D35:D38)+SUM(D28:D32)</f>
        <v>25327.800000000003</v>
      </c>
      <c r="E39" s="266">
        <f>SUM(E35:E38)+SUM(E28:E32)</f>
        <v>1552.8000000000002</v>
      </c>
      <c r="F39" s="266">
        <f>SUM(F35:F38)+SUM(F28:F32)</f>
        <v>2250</v>
      </c>
      <c r="G39" s="267">
        <f t="shared" ref="G39" si="22">SUM(D39:F39)</f>
        <v>29130.600000000002</v>
      </c>
      <c r="H39" s="268">
        <f>SUM(H28:H32)+SUM(H35:H38)</f>
        <v>0</v>
      </c>
      <c r="I39" s="269">
        <f>SUM(I35:I38)+SUM(I28:I32)</f>
        <v>29130.6</v>
      </c>
      <c r="J39" s="266">
        <f>SUM(J35:J38)+SUM(J28:J32)</f>
        <v>28027</v>
      </c>
      <c r="K39" s="266">
        <f>SUM(K35:K38)+SUM(K28:K32)</f>
        <v>1427.8</v>
      </c>
      <c r="L39" s="266">
        <f>SUM(L35:L38)+SUM(L28:L32)</f>
        <v>3174</v>
      </c>
      <c r="M39" s="267">
        <f t="shared" ref="M39" si="23">SUM(J39:L39)</f>
        <v>32628.799999999999</v>
      </c>
      <c r="N39" s="268">
        <f>SUM(N28:N32)+SUM(N35:N38)</f>
        <v>0</v>
      </c>
      <c r="O39" s="269">
        <f>SUM(O35:O38)+SUM(O28:O32)</f>
        <v>32628.799999999999</v>
      </c>
      <c r="P39" s="266">
        <f>SUM(P35:P38)+SUM(P28:P32)</f>
        <v>12053</v>
      </c>
      <c r="Q39" s="266">
        <f>SUM(Q35:Q38)+SUM(Q28:Q32)</f>
        <v>805.9</v>
      </c>
      <c r="R39" s="266">
        <f>SUM(R35:R38)+SUM(R28:R32)</f>
        <v>1770</v>
      </c>
      <c r="S39" s="267">
        <f t="shared" ref="S39" si="24">SUM(P39:R39)</f>
        <v>14628.9</v>
      </c>
      <c r="T39" s="268">
        <f>SUM(T28:T32)+SUM(T35:T38)</f>
        <v>0</v>
      </c>
      <c r="U39" s="269">
        <f>SUM(U35:U38)+SUM(U28:U32)</f>
        <v>14628.900000000001</v>
      </c>
      <c r="V39" s="266">
        <f>SUM(V35:V38)+SUM(V28:V32)</f>
        <v>28664</v>
      </c>
      <c r="W39" s="266">
        <f>SUM(W35:W38)+SUM(W28:W32)</f>
        <v>1300</v>
      </c>
      <c r="X39" s="266">
        <f>SUM(X35:X38)+SUM(X28:X32)</f>
        <v>3399</v>
      </c>
      <c r="Y39" s="267">
        <f t="shared" si="14"/>
        <v>33363</v>
      </c>
      <c r="Z39" s="268">
        <f>SUM(Z28:Z32)+SUM(Z35:Z38)</f>
        <v>0</v>
      </c>
      <c r="AA39" s="269">
        <f>SUM(AA35:AA38)+SUM(AA28:AA32)</f>
        <v>33363</v>
      </c>
      <c r="AB39" s="270">
        <f t="shared" si="16"/>
        <v>1.0225015936841073</v>
      </c>
      <c r="AC39" s="166"/>
      <c r="AD39" s="166"/>
    </row>
    <row r="40" spans="1:30" ht="19.5" thickBot="1" x14ac:dyDescent="0.35">
      <c r="A40" s="164"/>
      <c r="B40" s="271" t="s">
        <v>74</v>
      </c>
      <c r="C40" s="272" t="s">
        <v>75</v>
      </c>
      <c r="D40" s="273">
        <f t="shared" ref="D40:AA40" si="25">D24-D39</f>
        <v>198.19999999999709</v>
      </c>
      <c r="E40" s="273">
        <f t="shared" si="25"/>
        <v>0</v>
      </c>
      <c r="F40" s="273">
        <f t="shared" si="25"/>
        <v>66.5</v>
      </c>
      <c r="G40" s="274">
        <f t="shared" si="25"/>
        <v>264.69999999999709</v>
      </c>
      <c r="H40" s="274">
        <f t="shared" si="25"/>
        <v>0</v>
      </c>
      <c r="I40" s="275">
        <f t="shared" si="25"/>
        <v>264.70000000000073</v>
      </c>
      <c r="J40" s="273">
        <f t="shared" si="25"/>
        <v>0</v>
      </c>
      <c r="K40" s="273">
        <f t="shared" si="25"/>
        <v>0</v>
      </c>
      <c r="L40" s="273">
        <f t="shared" si="25"/>
        <v>0</v>
      </c>
      <c r="M40" s="274">
        <f t="shared" si="25"/>
        <v>0</v>
      </c>
      <c r="N40" s="274">
        <f t="shared" si="25"/>
        <v>0</v>
      </c>
      <c r="O40" s="275">
        <f t="shared" si="25"/>
        <v>0</v>
      </c>
      <c r="P40" s="273">
        <f t="shared" si="25"/>
        <v>1960.5</v>
      </c>
      <c r="Q40" s="273">
        <f t="shared" si="25"/>
        <v>563.20000000000016</v>
      </c>
      <c r="R40" s="273">
        <f t="shared" si="25"/>
        <v>59</v>
      </c>
      <c r="S40" s="274">
        <f t="shared" si="25"/>
        <v>2582.6999999999989</v>
      </c>
      <c r="T40" s="274">
        <f t="shared" si="25"/>
        <v>0</v>
      </c>
      <c r="U40" s="275">
        <f t="shared" si="25"/>
        <v>2582.6999999999971</v>
      </c>
      <c r="V40" s="273">
        <f t="shared" si="25"/>
        <v>0</v>
      </c>
      <c r="W40" s="273">
        <f t="shared" si="25"/>
        <v>0</v>
      </c>
      <c r="X40" s="273">
        <f t="shared" si="25"/>
        <v>0</v>
      </c>
      <c r="Y40" s="274">
        <f t="shared" si="25"/>
        <v>0</v>
      </c>
      <c r="Z40" s="274">
        <f t="shared" si="25"/>
        <v>0</v>
      </c>
      <c r="AA40" s="275">
        <f t="shared" si="25"/>
        <v>0</v>
      </c>
      <c r="AB40" s="276" t="e">
        <f t="shared" si="16"/>
        <v>#DIV/0!</v>
      </c>
      <c r="AC40" s="166"/>
      <c r="AD40" s="166"/>
    </row>
    <row r="41" spans="1:30" ht="15.75" thickBot="1" x14ac:dyDescent="0.3">
      <c r="A41" s="164"/>
      <c r="B41" s="277" t="s">
        <v>76</v>
      </c>
      <c r="C41" s="278" t="s">
        <v>77</v>
      </c>
      <c r="D41" s="279"/>
      <c r="E41" s="280"/>
      <c r="F41" s="280"/>
      <c r="G41" s="281"/>
      <c r="H41" s="282"/>
      <c r="I41" s="283">
        <f>I40-D16</f>
        <v>-25215.3</v>
      </c>
      <c r="J41" s="279"/>
      <c r="K41" s="280"/>
      <c r="L41" s="280"/>
      <c r="M41" s="281"/>
      <c r="N41" s="284"/>
      <c r="O41" s="283">
        <f>O40-J16</f>
        <v>-27981</v>
      </c>
      <c r="P41" s="279"/>
      <c r="Q41" s="280"/>
      <c r="R41" s="280"/>
      <c r="S41" s="281"/>
      <c r="T41" s="284"/>
      <c r="U41" s="283">
        <f>U40-P16</f>
        <v>-11407.800000000003</v>
      </c>
      <c r="V41" s="279"/>
      <c r="W41" s="280"/>
      <c r="X41" s="280"/>
      <c r="Y41" s="281"/>
      <c r="Z41" s="284"/>
      <c r="AA41" s="283">
        <f>AA40-V16</f>
        <v>-28618</v>
      </c>
      <c r="AB41" s="190">
        <f t="shared" si="16"/>
        <v>1.0227654479825596</v>
      </c>
      <c r="AC41" s="166"/>
      <c r="AD41" s="166"/>
    </row>
    <row r="42" spans="1:30" s="291" customFormat="1" ht="8.25" customHeight="1" thickBot="1" x14ac:dyDescent="0.3">
      <c r="A42" s="285"/>
      <c r="B42" s="286"/>
      <c r="C42" s="287"/>
      <c r="D42" s="288"/>
      <c r="E42" s="289"/>
      <c r="F42" s="289"/>
      <c r="G42" s="285"/>
      <c r="H42" s="289"/>
      <c r="I42" s="289"/>
      <c r="J42" s="288"/>
      <c r="K42" s="289"/>
      <c r="L42" s="289"/>
      <c r="M42" s="285"/>
      <c r="N42" s="289"/>
      <c r="O42" s="289"/>
      <c r="P42" s="289"/>
      <c r="Q42" s="289"/>
      <c r="R42" s="289"/>
      <c r="S42" s="289"/>
      <c r="T42" s="289"/>
      <c r="U42" s="289"/>
      <c r="V42" s="290"/>
      <c r="W42" s="290"/>
      <c r="X42" s="290"/>
      <c r="Y42" s="290"/>
      <c r="Z42" s="290"/>
      <c r="AA42" s="290"/>
      <c r="AB42" s="290"/>
      <c r="AC42" s="290"/>
      <c r="AD42" s="290"/>
    </row>
    <row r="43" spans="1:30" s="291" customFormat="1" ht="15.75" customHeight="1" thickBot="1" x14ac:dyDescent="0.3">
      <c r="A43" s="285"/>
      <c r="B43" s="292"/>
      <c r="C43" s="812" t="s">
        <v>78</v>
      </c>
      <c r="D43" s="293" t="s">
        <v>79</v>
      </c>
      <c r="E43" s="294" t="s">
        <v>80</v>
      </c>
      <c r="F43" s="295" t="s">
        <v>81</v>
      </c>
      <c r="G43" s="289"/>
      <c r="H43" s="289"/>
      <c r="I43" s="296"/>
      <c r="J43" s="293" t="s">
        <v>79</v>
      </c>
      <c r="K43" s="294" t="s">
        <v>80</v>
      </c>
      <c r="L43" s="295" t="s">
        <v>81</v>
      </c>
      <c r="M43" s="289"/>
      <c r="N43" s="289"/>
      <c r="O43" s="289"/>
      <c r="P43" s="293" t="s">
        <v>79</v>
      </c>
      <c r="Q43" s="294" t="s">
        <v>80</v>
      </c>
      <c r="R43" s="295" t="s">
        <v>81</v>
      </c>
      <c r="S43" s="290"/>
      <c r="T43" s="290"/>
      <c r="U43" s="290"/>
      <c r="V43" s="293" t="s">
        <v>79</v>
      </c>
      <c r="W43" s="294" t="s">
        <v>80</v>
      </c>
      <c r="X43" s="295" t="s">
        <v>81</v>
      </c>
      <c r="Y43" s="290"/>
      <c r="Z43" s="290"/>
      <c r="AA43" s="290"/>
      <c r="AB43" s="290"/>
      <c r="AC43" s="290"/>
      <c r="AD43" s="290"/>
    </row>
    <row r="44" spans="1:30" ht="15.75" thickBot="1" x14ac:dyDescent="0.3">
      <c r="A44" s="164"/>
      <c r="B44" s="292"/>
      <c r="C44" s="812"/>
      <c r="D44" s="297"/>
      <c r="E44" s="298"/>
      <c r="F44" s="299">
        <v>0</v>
      </c>
      <c r="G44" s="289"/>
      <c r="H44" s="289"/>
      <c r="I44" s="296"/>
      <c r="J44" s="297"/>
      <c r="K44" s="298"/>
      <c r="L44" s="299">
        <v>0</v>
      </c>
      <c r="M44" s="300"/>
      <c r="N44" s="300"/>
      <c r="O44" s="300"/>
      <c r="P44" s="297"/>
      <c r="Q44" s="298"/>
      <c r="R44" s="299">
        <v>0</v>
      </c>
      <c r="S44" s="166"/>
      <c r="T44" s="166"/>
      <c r="U44" s="166"/>
      <c r="V44" s="297"/>
      <c r="W44" s="298"/>
      <c r="X44" s="299">
        <v>0</v>
      </c>
      <c r="Y44" s="166"/>
      <c r="Z44" s="166"/>
      <c r="AA44" s="166"/>
      <c r="AB44" s="166"/>
      <c r="AC44" s="166"/>
      <c r="AD44" s="166"/>
    </row>
    <row r="45" spans="1:30" s="291" customFormat="1" ht="8.25" customHeight="1" thickBot="1" x14ac:dyDescent="0.3">
      <c r="A45" s="285"/>
      <c r="B45" s="292"/>
      <c r="C45" s="287"/>
      <c r="D45" s="300"/>
      <c r="E45" s="289"/>
      <c r="F45" s="289"/>
      <c r="G45" s="289"/>
      <c r="H45" s="289"/>
      <c r="I45" s="296"/>
      <c r="J45" s="289"/>
      <c r="K45" s="289"/>
      <c r="L45" s="289"/>
      <c r="M45" s="289"/>
      <c r="N45" s="289"/>
      <c r="O45" s="296"/>
      <c r="P45" s="296"/>
      <c r="Q45" s="296"/>
      <c r="R45" s="296"/>
      <c r="S45" s="296"/>
      <c r="T45" s="296"/>
      <c r="U45" s="296"/>
      <c r="V45" s="290"/>
      <c r="W45" s="290"/>
      <c r="X45" s="290"/>
      <c r="Y45" s="290"/>
      <c r="Z45" s="290"/>
      <c r="AA45" s="290"/>
      <c r="AB45" s="290"/>
      <c r="AC45" s="290"/>
      <c r="AD45" s="290"/>
    </row>
    <row r="46" spans="1:30" s="291" customFormat="1" ht="37.5" customHeight="1" thickBot="1" x14ac:dyDescent="0.3">
      <c r="A46" s="285"/>
      <c r="B46" s="292"/>
      <c r="C46" s="812" t="s">
        <v>82</v>
      </c>
      <c r="D46" s="301" t="s">
        <v>83</v>
      </c>
      <c r="E46" s="302" t="s">
        <v>84</v>
      </c>
      <c r="F46" s="289"/>
      <c r="G46" s="289"/>
      <c r="H46" s="289"/>
      <c r="I46" s="296"/>
      <c r="J46" s="301" t="s">
        <v>83</v>
      </c>
      <c r="K46" s="302" t="s">
        <v>84</v>
      </c>
      <c r="L46" s="303"/>
      <c r="M46" s="303"/>
      <c r="N46" s="290"/>
      <c r="O46" s="290"/>
      <c r="P46" s="301" t="s">
        <v>83</v>
      </c>
      <c r="Q46" s="302" t="s">
        <v>84</v>
      </c>
      <c r="R46" s="290"/>
      <c r="S46" s="290"/>
      <c r="T46" s="290"/>
      <c r="U46" s="290"/>
      <c r="V46" s="301" t="s">
        <v>83</v>
      </c>
      <c r="W46" s="302" t="s">
        <v>84</v>
      </c>
      <c r="X46" s="290"/>
      <c r="Y46" s="290"/>
      <c r="Z46" s="290"/>
      <c r="AA46" s="290"/>
      <c r="AB46" s="290"/>
      <c r="AC46" s="290"/>
      <c r="AD46" s="290"/>
    </row>
    <row r="47" spans="1:30" ht="15.75" thickBot="1" x14ac:dyDescent="0.3">
      <c r="A47" s="164"/>
      <c r="B47" s="304"/>
      <c r="C47" s="812"/>
      <c r="D47" s="297">
        <v>0</v>
      </c>
      <c r="E47" s="305">
        <v>0</v>
      </c>
      <c r="F47" s="289"/>
      <c r="G47" s="289"/>
      <c r="H47" s="289"/>
      <c r="I47" s="296"/>
      <c r="J47" s="297">
        <v>789</v>
      </c>
      <c r="K47" s="305">
        <v>0</v>
      </c>
      <c r="L47" s="306"/>
      <c r="M47" s="306"/>
      <c r="N47" s="166"/>
      <c r="O47" s="166"/>
      <c r="P47" s="297">
        <v>0</v>
      </c>
      <c r="Q47" s="305">
        <v>0</v>
      </c>
      <c r="R47" s="166"/>
      <c r="S47" s="166"/>
      <c r="T47" s="166"/>
      <c r="U47" s="166"/>
      <c r="V47" s="297">
        <v>0</v>
      </c>
      <c r="W47" s="305">
        <v>0</v>
      </c>
      <c r="X47" s="166"/>
      <c r="Y47" s="166"/>
      <c r="Z47" s="166"/>
      <c r="AA47" s="166"/>
      <c r="AB47" s="166"/>
      <c r="AC47" s="166"/>
      <c r="AD47" s="166"/>
    </row>
    <row r="48" spans="1:30" x14ac:dyDescent="0.25">
      <c r="A48" s="164"/>
      <c r="B48" s="304"/>
      <c r="C48" s="287"/>
      <c r="D48" s="289"/>
      <c r="E48" s="289"/>
      <c r="F48" s="289"/>
      <c r="G48" s="289"/>
      <c r="H48" s="289"/>
      <c r="I48" s="296"/>
      <c r="J48" s="289"/>
      <c r="K48" s="289"/>
      <c r="L48" s="289"/>
      <c r="M48" s="289"/>
      <c r="N48" s="289"/>
      <c r="O48" s="296"/>
      <c r="P48" s="296"/>
      <c r="Q48" s="296"/>
      <c r="R48" s="296"/>
      <c r="S48" s="296"/>
      <c r="T48" s="296"/>
      <c r="U48" s="296"/>
      <c r="V48" s="166"/>
      <c r="W48" s="166"/>
      <c r="X48" s="166"/>
      <c r="Y48" s="166"/>
      <c r="Z48" s="166"/>
      <c r="AA48" s="166"/>
      <c r="AB48" s="166"/>
      <c r="AC48" s="166"/>
      <c r="AD48" s="166"/>
    </row>
    <row r="49" spans="1:30" x14ac:dyDescent="0.25">
      <c r="A49" s="164"/>
      <c r="B49" s="304"/>
      <c r="C49" s="307" t="s">
        <v>85</v>
      </c>
      <c r="D49" s="308" t="s">
        <v>86</v>
      </c>
      <c r="E49" s="308" t="s">
        <v>87</v>
      </c>
      <c r="F49" s="308" t="s">
        <v>88</v>
      </c>
      <c r="G49" s="308" t="s">
        <v>89</v>
      </c>
      <c r="H49" s="289"/>
      <c r="I49" s="166"/>
      <c r="J49" s="308" t="s">
        <v>86</v>
      </c>
      <c r="K49" s="308" t="s">
        <v>87</v>
      </c>
      <c r="L49" s="308" t="s">
        <v>88</v>
      </c>
      <c r="M49" s="308" t="s">
        <v>90</v>
      </c>
      <c r="N49" s="166"/>
      <c r="O49" s="166"/>
      <c r="P49" s="308" t="s">
        <v>86</v>
      </c>
      <c r="Q49" s="308" t="s">
        <v>87</v>
      </c>
      <c r="R49" s="308" t="s">
        <v>88</v>
      </c>
      <c r="S49" s="309" t="s">
        <v>142</v>
      </c>
      <c r="T49" s="166"/>
      <c r="U49" s="166"/>
      <c r="V49" s="308" t="s">
        <v>92</v>
      </c>
      <c r="W49" s="308" t="s">
        <v>87</v>
      </c>
      <c r="X49" s="308" t="s">
        <v>88</v>
      </c>
      <c r="Y49" s="308" t="s">
        <v>90</v>
      </c>
      <c r="Z49" s="166"/>
      <c r="AA49" s="166"/>
      <c r="AB49" s="166"/>
      <c r="AC49" s="166"/>
      <c r="AD49" s="166"/>
    </row>
    <row r="50" spans="1:30" x14ac:dyDescent="0.25">
      <c r="A50" s="164"/>
      <c r="B50" s="304"/>
      <c r="C50" s="310" t="s">
        <v>94</v>
      </c>
      <c r="D50" s="311">
        <v>416.2</v>
      </c>
      <c r="E50" s="311">
        <v>1299.4000000000001</v>
      </c>
      <c r="F50" s="311">
        <v>0</v>
      </c>
      <c r="G50" s="312">
        <f>D50+E50-F50</f>
        <v>1715.6000000000001</v>
      </c>
      <c r="H50" s="289"/>
      <c r="I50" s="166"/>
      <c r="J50" s="313">
        <v>1715.6</v>
      </c>
      <c r="K50" s="313">
        <v>150</v>
      </c>
      <c r="L50" s="313">
        <v>0</v>
      </c>
      <c r="M50" s="314">
        <f>J50+K50-L50</f>
        <v>1865.6</v>
      </c>
      <c r="N50" s="166"/>
      <c r="O50" s="166"/>
      <c r="P50" s="312">
        <v>1715.6000000000001</v>
      </c>
      <c r="Q50" s="311">
        <v>214.7</v>
      </c>
      <c r="R50" s="311">
        <v>0</v>
      </c>
      <c r="S50" s="315">
        <f>P50+Q50-R50</f>
        <v>1930.3000000000002</v>
      </c>
      <c r="T50" s="166"/>
      <c r="U50" s="166"/>
      <c r="V50" s="314">
        <f>S50+T50-U50</f>
        <v>1930.3000000000002</v>
      </c>
      <c r="W50" s="313">
        <v>0</v>
      </c>
      <c r="X50" s="313">
        <v>0</v>
      </c>
      <c r="Y50" s="314">
        <f>V50+W50-X50</f>
        <v>1930.3000000000002</v>
      </c>
      <c r="Z50" s="166"/>
      <c r="AA50" s="166"/>
      <c r="AB50" s="166"/>
      <c r="AC50" s="166"/>
      <c r="AD50" s="166"/>
    </row>
    <row r="51" spans="1:30" x14ac:dyDescent="0.25">
      <c r="A51" s="164"/>
      <c r="B51" s="304"/>
      <c r="C51" s="310" t="s">
        <v>95</v>
      </c>
      <c r="D51" s="311">
        <v>1997.9</v>
      </c>
      <c r="E51" s="311">
        <v>475.5</v>
      </c>
      <c r="F51" s="311">
        <v>695.9</v>
      </c>
      <c r="G51" s="312">
        <f t="shared" ref="G51:G53" si="26">D51+E51-F51</f>
        <v>1777.5</v>
      </c>
      <c r="H51" s="289"/>
      <c r="I51" s="166"/>
      <c r="J51" s="313">
        <v>1884.7</v>
      </c>
      <c r="K51" s="313">
        <v>545</v>
      </c>
      <c r="L51" s="313">
        <v>1590</v>
      </c>
      <c r="M51" s="314">
        <f>J51+K51-L51</f>
        <v>839.69999999999982</v>
      </c>
      <c r="N51" s="166"/>
      <c r="O51" s="166"/>
      <c r="P51" s="312">
        <v>1777.5</v>
      </c>
      <c r="Q51" s="311">
        <v>260.60000000000002</v>
      </c>
      <c r="R51" s="311">
        <v>0</v>
      </c>
      <c r="S51" s="315">
        <f t="shared" ref="S51:S53" si="27">P51+Q51-R51</f>
        <v>2038.1</v>
      </c>
      <c r="T51" s="166"/>
      <c r="U51" s="166"/>
      <c r="V51" s="314">
        <v>1500</v>
      </c>
      <c r="W51" s="313">
        <v>580</v>
      </c>
      <c r="X51" s="313">
        <v>450</v>
      </c>
      <c r="Y51" s="314">
        <f>V51+W51-X51</f>
        <v>1630</v>
      </c>
      <c r="Z51" s="166"/>
      <c r="AA51" s="166"/>
      <c r="AB51" s="166"/>
      <c r="AC51" s="166"/>
      <c r="AD51" s="166"/>
    </row>
    <row r="52" spans="1:30" x14ac:dyDescent="0.25">
      <c r="A52" s="164"/>
      <c r="B52" s="304"/>
      <c r="C52" s="310" t="s">
        <v>96</v>
      </c>
      <c r="D52" s="311">
        <v>312.60000000000002</v>
      </c>
      <c r="E52" s="311">
        <v>200</v>
      </c>
      <c r="F52" s="311">
        <v>0</v>
      </c>
      <c r="G52" s="312">
        <f t="shared" si="26"/>
        <v>512.6</v>
      </c>
      <c r="H52" s="289"/>
      <c r="I52" s="166"/>
      <c r="J52" s="313">
        <v>212.6</v>
      </c>
      <c r="K52" s="313">
        <v>100</v>
      </c>
      <c r="L52" s="313">
        <v>0</v>
      </c>
      <c r="M52" s="314">
        <f>J52+K52-L52</f>
        <v>312.60000000000002</v>
      </c>
      <c r="N52" s="166"/>
      <c r="O52" s="166"/>
      <c r="P52" s="312">
        <v>512.6</v>
      </c>
      <c r="Q52" s="311">
        <v>50</v>
      </c>
      <c r="R52" s="311">
        <v>0</v>
      </c>
      <c r="S52" s="315">
        <f t="shared" si="27"/>
        <v>562.6</v>
      </c>
      <c r="T52" s="166"/>
      <c r="U52" s="166"/>
      <c r="V52" s="314">
        <f>S52+T52-U52</f>
        <v>562.6</v>
      </c>
      <c r="W52" s="313">
        <v>0</v>
      </c>
      <c r="X52" s="313">
        <v>0</v>
      </c>
      <c r="Y52" s="314">
        <f>V52+W52-X52</f>
        <v>562.6</v>
      </c>
      <c r="Z52" s="166"/>
      <c r="AA52" s="166"/>
      <c r="AB52" s="166"/>
      <c r="AC52" s="166"/>
      <c r="AD52" s="166"/>
    </row>
    <row r="53" spans="1:30" x14ac:dyDescent="0.25">
      <c r="A53" s="164"/>
      <c r="B53" s="304"/>
      <c r="C53" s="316" t="s">
        <v>97</v>
      </c>
      <c r="D53" s="311">
        <v>370.2</v>
      </c>
      <c r="E53" s="311">
        <v>265.89999999999998</v>
      </c>
      <c r="F53" s="311">
        <v>250.2</v>
      </c>
      <c r="G53" s="312">
        <f t="shared" si="26"/>
        <v>385.89999999999992</v>
      </c>
      <c r="H53" s="289"/>
      <c r="I53" s="166"/>
      <c r="J53" s="313">
        <v>147.19999999999999</v>
      </c>
      <c r="K53" s="313">
        <v>263</v>
      </c>
      <c r="L53" s="313">
        <v>263</v>
      </c>
      <c r="M53" s="314">
        <f>J53+K53-L53</f>
        <v>147.19999999999999</v>
      </c>
      <c r="N53" s="166"/>
      <c r="O53" s="166"/>
      <c r="P53" s="312">
        <v>385.89999999999992</v>
      </c>
      <c r="Q53" s="311">
        <v>85.4</v>
      </c>
      <c r="R53" s="311">
        <v>137.19999999999999</v>
      </c>
      <c r="S53" s="315">
        <f t="shared" si="27"/>
        <v>334.09999999999997</v>
      </c>
      <c r="T53" s="166"/>
      <c r="U53" s="166"/>
      <c r="V53" s="314">
        <v>300</v>
      </c>
      <c r="W53" s="313">
        <v>288</v>
      </c>
      <c r="X53" s="313">
        <v>288</v>
      </c>
      <c r="Y53" s="314">
        <f>V53+W53-X53</f>
        <v>300</v>
      </c>
      <c r="Z53" s="166"/>
      <c r="AA53" s="166"/>
      <c r="AB53" s="166"/>
      <c r="AC53" s="166"/>
      <c r="AD53" s="166"/>
    </row>
    <row r="54" spans="1:30" ht="10.5" customHeight="1" x14ac:dyDescent="0.25">
      <c r="A54" s="164"/>
      <c r="B54" s="304"/>
      <c r="C54" s="287"/>
      <c r="D54" s="289"/>
      <c r="E54" s="289"/>
      <c r="F54" s="289"/>
      <c r="G54" s="289"/>
      <c r="H54" s="289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</row>
    <row r="55" spans="1:30" x14ac:dyDescent="0.25">
      <c r="A55" s="164"/>
      <c r="B55" s="304"/>
      <c r="C55" s="307" t="s">
        <v>98</v>
      </c>
      <c r="D55" s="308" t="s">
        <v>99</v>
      </c>
      <c r="E55" s="308" t="s">
        <v>100</v>
      </c>
      <c r="F55" s="289"/>
      <c r="G55" s="289"/>
      <c r="H55" s="289"/>
      <c r="I55" s="296"/>
      <c r="J55" s="308" t="s">
        <v>101</v>
      </c>
      <c r="K55" s="289"/>
      <c r="L55" s="289"/>
      <c r="M55" s="289"/>
      <c r="N55" s="289"/>
      <c r="O55" s="296"/>
      <c r="P55" s="308" t="s">
        <v>102</v>
      </c>
      <c r="Q55" s="296"/>
      <c r="R55" s="296"/>
      <c r="S55" s="296"/>
      <c r="T55" s="296"/>
      <c r="U55" s="296"/>
      <c r="V55" s="308" t="s">
        <v>101</v>
      </c>
      <c r="W55" s="166"/>
      <c r="X55" s="166"/>
      <c r="Y55" s="166"/>
      <c r="Z55" s="166"/>
      <c r="AA55" s="166"/>
      <c r="AB55" s="166"/>
      <c r="AC55" s="166"/>
      <c r="AD55" s="166"/>
    </row>
    <row r="56" spans="1:30" x14ac:dyDescent="0.25">
      <c r="A56" s="164"/>
      <c r="B56" s="304"/>
      <c r="C56" s="310"/>
      <c r="D56" s="317">
        <v>33.9</v>
      </c>
      <c r="E56" s="317">
        <v>33.9</v>
      </c>
      <c r="F56" s="289"/>
      <c r="G56" s="289"/>
      <c r="H56" s="289"/>
      <c r="I56" s="296"/>
      <c r="J56" s="317">
        <v>34.1</v>
      </c>
      <c r="K56" s="289"/>
      <c r="L56" s="289"/>
      <c r="M56" s="289"/>
      <c r="N56" s="289"/>
      <c r="O56" s="296"/>
      <c r="P56" s="317">
        <v>32.6</v>
      </c>
      <c r="Q56" s="296"/>
      <c r="R56" s="296"/>
      <c r="S56" s="296"/>
      <c r="T56" s="296"/>
      <c r="U56" s="296"/>
      <c r="V56" s="317">
        <v>33.130000000000003</v>
      </c>
      <c r="W56" s="166"/>
      <c r="X56" s="166"/>
      <c r="Y56" s="166"/>
      <c r="Z56" s="166"/>
      <c r="AA56" s="166"/>
      <c r="AB56" s="166"/>
      <c r="AC56" s="166"/>
      <c r="AD56" s="166"/>
    </row>
    <row r="57" spans="1:30" x14ac:dyDescent="0.25">
      <c r="A57" s="164"/>
      <c r="B57" s="304"/>
      <c r="C57" s="287"/>
      <c r="D57" s="289"/>
      <c r="E57" s="289"/>
      <c r="F57" s="289"/>
      <c r="G57" s="289"/>
      <c r="H57" s="289"/>
      <c r="I57" s="296"/>
      <c r="J57" s="289"/>
      <c r="K57" s="289"/>
      <c r="L57" s="289"/>
      <c r="M57" s="289"/>
      <c r="N57" s="289"/>
      <c r="O57" s="296"/>
      <c r="P57" s="296"/>
      <c r="Q57" s="296"/>
      <c r="R57" s="296"/>
      <c r="S57" s="296"/>
      <c r="T57" s="296"/>
      <c r="U57" s="296"/>
      <c r="V57" s="166"/>
      <c r="W57" s="166"/>
      <c r="X57" s="166"/>
      <c r="Y57" s="166"/>
      <c r="Z57" s="166"/>
      <c r="AA57" s="166"/>
      <c r="AB57" s="166"/>
      <c r="AC57" s="166"/>
      <c r="AD57" s="166"/>
    </row>
    <row r="58" spans="1:30" x14ac:dyDescent="0.25">
      <c r="A58" s="164"/>
      <c r="B58" s="318" t="s">
        <v>103</v>
      </c>
      <c r="C58" s="319"/>
      <c r="D58" s="813"/>
      <c r="E58" s="813"/>
      <c r="F58" s="813"/>
      <c r="G58" s="813"/>
      <c r="H58" s="813"/>
      <c r="I58" s="813"/>
      <c r="J58" s="813"/>
      <c r="K58" s="813"/>
      <c r="L58" s="813"/>
      <c r="M58" s="813"/>
      <c r="N58" s="813"/>
      <c r="O58" s="813"/>
      <c r="P58" s="813"/>
      <c r="Q58" s="813"/>
      <c r="R58" s="813"/>
      <c r="S58" s="813"/>
      <c r="T58" s="813"/>
      <c r="U58" s="813"/>
      <c r="V58" s="320"/>
      <c r="W58" s="320"/>
      <c r="X58" s="320"/>
      <c r="Y58" s="320"/>
      <c r="Z58" s="320"/>
      <c r="AA58" s="320"/>
      <c r="AB58" s="321"/>
      <c r="AC58" s="166"/>
      <c r="AD58" s="166"/>
    </row>
    <row r="59" spans="1:30" x14ac:dyDescent="0.25">
      <c r="A59" s="164"/>
      <c r="B59" s="322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323"/>
      <c r="AC59" s="166"/>
      <c r="AD59" s="166"/>
    </row>
    <row r="60" spans="1:30" x14ac:dyDescent="0.25">
      <c r="A60" s="164"/>
      <c r="B60" s="807"/>
      <c r="C60" s="807"/>
      <c r="D60" s="807"/>
      <c r="E60" s="807"/>
      <c r="F60" s="807"/>
      <c r="G60" s="807"/>
      <c r="H60" s="807"/>
      <c r="I60" s="807"/>
      <c r="J60" s="807"/>
      <c r="K60" s="807"/>
      <c r="L60" s="807"/>
      <c r="M60" s="807"/>
      <c r="N60" s="807"/>
      <c r="O60" s="807"/>
      <c r="P60" s="807"/>
      <c r="Q60" s="807"/>
      <c r="R60" s="807"/>
      <c r="S60" s="807"/>
      <c r="T60" s="807"/>
      <c r="U60" s="807"/>
      <c r="V60" s="291"/>
      <c r="W60" s="291"/>
      <c r="X60" s="291"/>
      <c r="Y60" s="291"/>
      <c r="Z60" s="291"/>
      <c r="AA60" s="291"/>
      <c r="AB60" s="323"/>
      <c r="AC60" s="166"/>
      <c r="AD60" s="166"/>
    </row>
    <row r="61" spans="1:30" x14ac:dyDescent="0.25">
      <c r="A61" s="164"/>
      <c r="B61" s="807"/>
      <c r="C61" s="807"/>
      <c r="D61" s="807"/>
      <c r="E61" s="807"/>
      <c r="F61" s="807"/>
      <c r="G61" s="807"/>
      <c r="H61" s="807"/>
      <c r="I61" s="807"/>
      <c r="J61" s="807"/>
      <c r="K61" s="807"/>
      <c r="L61" s="807"/>
      <c r="M61" s="807"/>
      <c r="N61" s="807"/>
      <c r="O61" s="807"/>
      <c r="P61" s="807"/>
      <c r="Q61" s="807"/>
      <c r="R61" s="807"/>
      <c r="S61" s="807"/>
      <c r="T61" s="807"/>
      <c r="U61" s="807"/>
      <c r="V61" s="291"/>
      <c r="W61" s="291"/>
      <c r="X61" s="291"/>
      <c r="Y61" s="291"/>
      <c r="Z61" s="291"/>
      <c r="AA61" s="291"/>
      <c r="AB61" s="323"/>
      <c r="AC61" s="166"/>
      <c r="AD61" s="166"/>
    </row>
    <row r="62" spans="1:30" x14ac:dyDescent="0.25">
      <c r="A62" s="164"/>
      <c r="B62" s="807"/>
      <c r="C62" s="807"/>
      <c r="D62" s="807"/>
      <c r="E62" s="807"/>
      <c r="F62" s="807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7"/>
      <c r="R62" s="807"/>
      <c r="S62" s="807"/>
      <c r="T62" s="807"/>
      <c r="U62" s="807"/>
      <c r="V62" s="291"/>
      <c r="W62" s="291"/>
      <c r="X62" s="291"/>
      <c r="Y62" s="291"/>
      <c r="Z62" s="291"/>
      <c r="AA62" s="291"/>
      <c r="AB62" s="323"/>
      <c r="AC62" s="166"/>
      <c r="AD62" s="166"/>
    </row>
    <row r="63" spans="1:30" x14ac:dyDescent="0.25">
      <c r="A63" s="164"/>
      <c r="B63" s="324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291"/>
      <c r="W63" s="291"/>
      <c r="X63" s="291"/>
      <c r="Y63" s="291"/>
      <c r="Z63" s="291"/>
      <c r="AA63" s="291"/>
      <c r="AB63" s="323"/>
      <c r="AC63" s="166"/>
      <c r="AD63" s="166"/>
    </row>
    <row r="64" spans="1:30" x14ac:dyDescent="0.25">
      <c r="A64" s="164"/>
      <c r="B64" s="324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291"/>
      <c r="W64" s="291"/>
      <c r="X64" s="291"/>
      <c r="Y64" s="291"/>
      <c r="Z64" s="291"/>
      <c r="AA64" s="291"/>
      <c r="AB64" s="323"/>
      <c r="AC64" s="166"/>
      <c r="AD64" s="166"/>
    </row>
    <row r="65" spans="1:30" x14ac:dyDescent="0.25">
      <c r="A65" s="164"/>
      <c r="B65" s="324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291"/>
      <c r="W65" s="291"/>
      <c r="X65" s="291"/>
      <c r="Y65" s="291"/>
      <c r="Z65" s="291"/>
      <c r="AA65" s="291"/>
      <c r="AB65" s="323"/>
      <c r="AC65" s="166"/>
      <c r="AD65" s="166"/>
    </row>
    <row r="66" spans="1:30" x14ac:dyDescent="0.25">
      <c r="A66" s="164"/>
      <c r="B66" s="324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291"/>
      <c r="W66" s="291"/>
      <c r="X66" s="291"/>
      <c r="Y66" s="291"/>
      <c r="Z66" s="291"/>
      <c r="AA66" s="291"/>
      <c r="AB66" s="323"/>
      <c r="AC66" s="166"/>
      <c r="AD66" s="166"/>
    </row>
    <row r="67" spans="1:30" x14ac:dyDescent="0.25">
      <c r="A67" s="164"/>
      <c r="B67" s="324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291"/>
      <c r="W67" s="291"/>
      <c r="X67" s="291"/>
      <c r="Y67" s="291"/>
      <c r="Z67" s="291"/>
      <c r="AA67" s="291"/>
      <c r="AB67" s="323"/>
      <c r="AC67" s="166"/>
      <c r="AD67" s="166"/>
    </row>
    <row r="68" spans="1:30" x14ac:dyDescent="0.25">
      <c r="A68" s="164"/>
      <c r="B68" s="324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291"/>
      <c r="W68" s="291"/>
      <c r="X68" s="291"/>
      <c r="Y68" s="291"/>
      <c r="Z68" s="291"/>
      <c r="AA68" s="291"/>
      <c r="AB68" s="323"/>
      <c r="AC68" s="166"/>
      <c r="AD68" s="166"/>
    </row>
    <row r="69" spans="1:30" x14ac:dyDescent="0.25">
      <c r="A69" s="164"/>
      <c r="B69" s="324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291"/>
      <c r="W69" s="291"/>
      <c r="X69" s="291"/>
      <c r="Y69" s="291"/>
      <c r="Z69" s="291"/>
      <c r="AA69" s="291"/>
      <c r="AB69" s="323"/>
      <c r="AC69" s="166"/>
      <c r="AD69" s="166"/>
    </row>
    <row r="70" spans="1:30" x14ac:dyDescent="0.25">
      <c r="A70" s="164"/>
      <c r="B70" s="324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291"/>
      <c r="W70" s="291"/>
      <c r="X70" s="291"/>
      <c r="Y70" s="291"/>
      <c r="Z70" s="291"/>
      <c r="AA70" s="291"/>
      <c r="AB70" s="323"/>
      <c r="AC70" s="166"/>
      <c r="AD70" s="166"/>
    </row>
    <row r="71" spans="1:30" x14ac:dyDescent="0.25">
      <c r="A71" s="164"/>
      <c r="B71" s="324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291"/>
      <c r="W71" s="291"/>
      <c r="X71" s="291"/>
      <c r="Y71" s="291"/>
      <c r="Z71" s="291"/>
      <c r="AA71" s="291"/>
      <c r="AB71" s="323"/>
      <c r="AC71" s="166"/>
      <c r="AD71" s="166"/>
    </row>
    <row r="72" spans="1:30" x14ac:dyDescent="0.25">
      <c r="A72" s="164"/>
      <c r="B72" s="324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291"/>
      <c r="W72" s="291"/>
      <c r="X72" s="291"/>
      <c r="Y72" s="291"/>
      <c r="Z72" s="291"/>
      <c r="AA72" s="291"/>
      <c r="AB72" s="323"/>
      <c r="AC72" s="166"/>
      <c r="AD72" s="166"/>
    </row>
    <row r="73" spans="1:30" x14ac:dyDescent="0.25">
      <c r="A73" s="164"/>
      <c r="B73" s="324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291"/>
      <c r="W73" s="291"/>
      <c r="X73" s="291"/>
      <c r="Y73" s="291"/>
      <c r="Z73" s="291"/>
      <c r="AA73" s="291"/>
      <c r="AB73" s="323"/>
      <c r="AC73" s="166"/>
      <c r="AD73" s="166"/>
    </row>
    <row r="74" spans="1:30" x14ac:dyDescent="0.25">
      <c r="A74" s="164"/>
      <c r="B74" s="324"/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291"/>
      <c r="W74" s="291"/>
      <c r="X74" s="291"/>
      <c r="Y74" s="291"/>
      <c r="Z74" s="291"/>
      <c r="AA74" s="291"/>
      <c r="AB74" s="323"/>
      <c r="AC74" s="166"/>
      <c r="AD74" s="166"/>
    </row>
    <row r="75" spans="1:30" x14ac:dyDescent="0.25">
      <c r="A75" s="164"/>
      <c r="B75" s="324"/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291"/>
      <c r="W75" s="291"/>
      <c r="X75" s="291"/>
      <c r="Y75" s="291"/>
      <c r="Z75" s="291"/>
      <c r="AA75" s="291"/>
      <c r="AB75" s="323"/>
      <c r="AC75" s="166"/>
      <c r="AD75" s="166"/>
    </row>
    <row r="76" spans="1:30" x14ac:dyDescent="0.25">
      <c r="A76" s="164"/>
      <c r="B76" s="324"/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291"/>
      <c r="W76" s="291"/>
      <c r="X76" s="291"/>
      <c r="Y76" s="291"/>
      <c r="Z76" s="291"/>
      <c r="AA76" s="291"/>
      <c r="AB76" s="323"/>
      <c r="AC76" s="166"/>
      <c r="AD76" s="166"/>
    </row>
    <row r="77" spans="1:30" x14ac:dyDescent="0.25">
      <c r="A77" s="164"/>
      <c r="B77" s="324"/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291"/>
      <c r="W77" s="291"/>
      <c r="X77" s="291"/>
      <c r="Y77" s="291"/>
      <c r="Z77" s="291"/>
      <c r="AA77" s="291"/>
      <c r="AB77" s="323"/>
      <c r="AC77" s="166"/>
      <c r="AD77" s="166"/>
    </row>
    <row r="78" spans="1:30" x14ac:dyDescent="0.25">
      <c r="A78" s="164"/>
      <c r="B78" s="324"/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291"/>
      <c r="W78" s="291"/>
      <c r="X78" s="291"/>
      <c r="Y78" s="291"/>
      <c r="Z78" s="291"/>
      <c r="AA78" s="291"/>
      <c r="AB78" s="323"/>
      <c r="AC78" s="166"/>
      <c r="AD78" s="166"/>
    </row>
    <row r="79" spans="1:30" x14ac:dyDescent="0.25">
      <c r="A79" s="164"/>
      <c r="B79" s="324"/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291"/>
      <c r="W79" s="291"/>
      <c r="X79" s="291"/>
      <c r="Y79" s="291"/>
      <c r="Z79" s="291"/>
      <c r="AA79" s="291"/>
      <c r="AB79" s="323"/>
      <c r="AC79" s="166"/>
      <c r="AD79" s="166"/>
    </row>
    <row r="80" spans="1:30" x14ac:dyDescent="0.25">
      <c r="A80" s="164"/>
      <c r="B80" s="324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291"/>
      <c r="W80" s="291"/>
      <c r="X80" s="291"/>
      <c r="Y80" s="291"/>
      <c r="Z80" s="291"/>
      <c r="AA80" s="291"/>
      <c r="AB80" s="323"/>
      <c r="AC80" s="166"/>
      <c r="AD80" s="166"/>
    </row>
    <row r="81" spans="1:30" x14ac:dyDescent="0.25">
      <c r="A81" s="164"/>
      <c r="B81" s="807"/>
      <c r="C81" s="807"/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291"/>
      <c r="W81" s="291"/>
      <c r="X81" s="291"/>
      <c r="Y81" s="291"/>
      <c r="Z81" s="291"/>
      <c r="AA81" s="291"/>
      <c r="AB81" s="323"/>
      <c r="AC81" s="166"/>
      <c r="AD81" s="166"/>
    </row>
    <row r="82" spans="1:30" x14ac:dyDescent="0.25">
      <c r="A82" s="164"/>
      <c r="B82" s="326"/>
      <c r="C82" s="291"/>
      <c r="D82" s="291"/>
      <c r="E82" s="291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291"/>
      <c r="W82" s="291"/>
      <c r="X82" s="291"/>
      <c r="Y82" s="291"/>
      <c r="Z82" s="291"/>
      <c r="AA82" s="291"/>
      <c r="AB82" s="323"/>
      <c r="AC82" s="166"/>
      <c r="AD82" s="166"/>
    </row>
    <row r="83" spans="1:30" x14ac:dyDescent="0.25">
      <c r="A83" s="164"/>
      <c r="B83" s="326"/>
      <c r="C83" s="327"/>
      <c r="D83" s="327"/>
      <c r="E83" s="327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291"/>
      <c r="W83" s="291"/>
      <c r="X83" s="291"/>
      <c r="Y83" s="291"/>
      <c r="Z83" s="291"/>
      <c r="AA83" s="291"/>
      <c r="AB83" s="323"/>
      <c r="AC83" s="166"/>
      <c r="AD83" s="166"/>
    </row>
    <row r="84" spans="1:30" x14ac:dyDescent="0.25">
      <c r="A84" s="164"/>
      <c r="B84" s="326"/>
      <c r="C84" s="328"/>
      <c r="D84" s="327"/>
      <c r="E84" s="327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291"/>
      <c r="W84" s="291"/>
      <c r="X84" s="291"/>
      <c r="Y84" s="291"/>
      <c r="Z84" s="291"/>
      <c r="AA84" s="291"/>
      <c r="AB84" s="323"/>
      <c r="AC84" s="166"/>
      <c r="AD84" s="166"/>
    </row>
    <row r="85" spans="1:30" x14ac:dyDescent="0.25">
      <c r="A85" s="164"/>
      <c r="B85" s="326"/>
      <c r="C85" s="328"/>
      <c r="D85" s="327"/>
      <c r="E85" s="327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291"/>
      <c r="W85" s="291"/>
      <c r="X85" s="291"/>
      <c r="Y85" s="291"/>
      <c r="Z85" s="291"/>
      <c r="AA85" s="291"/>
      <c r="AB85" s="323"/>
      <c r="AC85" s="166"/>
      <c r="AD85" s="166"/>
    </row>
    <row r="86" spans="1:30" x14ac:dyDescent="0.25">
      <c r="A86" s="164"/>
      <c r="B86" s="329"/>
      <c r="C86" s="330"/>
      <c r="D86" s="331"/>
      <c r="E86" s="331"/>
      <c r="F86" s="332"/>
      <c r="G86" s="332"/>
      <c r="H86" s="332"/>
      <c r="I86" s="332"/>
      <c r="J86" s="332"/>
      <c r="K86" s="332"/>
      <c r="L86" s="332"/>
      <c r="M86" s="332"/>
      <c r="N86" s="332"/>
      <c r="O86" s="332"/>
      <c r="P86" s="332"/>
      <c r="Q86" s="332"/>
      <c r="R86" s="332"/>
      <c r="S86" s="332"/>
      <c r="T86" s="332"/>
      <c r="U86" s="332"/>
      <c r="V86" s="333"/>
      <c r="W86" s="333"/>
      <c r="X86" s="333"/>
      <c r="Y86" s="333"/>
      <c r="Z86" s="333"/>
      <c r="AA86" s="333"/>
      <c r="AB86" s="334"/>
      <c r="AC86" s="166"/>
      <c r="AD86" s="166"/>
    </row>
    <row r="87" spans="1:30" x14ac:dyDescent="0.25">
      <c r="A87" s="285"/>
      <c r="B87" s="335"/>
      <c r="C87" s="336"/>
      <c r="D87" s="335"/>
      <c r="E87" s="335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166"/>
      <c r="W87" s="166"/>
      <c r="X87" s="166"/>
      <c r="Y87" s="166"/>
      <c r="Z87" s="166"/>
      <c r="AA87" s="166"/>
      <c r="AB87" s="166"/>
      <c r="AC87" s="166"/>
      <c r="AD87" s="166"/>
    </row>
    <row r="88" spans="1:30" x14ac:dyDescent="0.25">
      <c r="A88" s="285"/>
      <c r="B88" s="335"/>
      <c r="C88" s="336"/>
      <c r="D88" s="335"/>
      <c r="E88" s="335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166"/>
      <c r="W88" s="166"/>
      <c r="X88" s="166"/>
      <c r="Y88" s="166"/>
      <c r="Z88" s="166"/>
      <c r="AA88" s="166"/>
      <c r="AB88" s="166"/>
      <c r="AC88" s="166"/>
      <c r="AD88" s="166"/>
    </row>
    <row r="89" spans="1:30" x14ac:dyDescent="0.25">
      <c r="A89" s="164"/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166"/>
      <c r="W89" s="166"/>
      <c r="X89" s="166"/>
      <c r="Y89" s="166"/>
      <c r="Z89" s="166"/>
      <c r="AA89" s="166"/>
      <c r="AB89" s="166"/>
      <c r="AC89" s="166"/>
      <c r="AD89" s="166"/>
    </row>
    <row r="90" spans="1:30" x14ac:dyDescent="0.25">
      <c r="A90" s="164"/>
      <c r="B90" s="338" t="s">
        <v>109</v>
      </c>
      <c r="C90" s="339">
        <v>44804</v>
      </c>
      <c r="D90" s="338" t="s">
        <v>110</v>
      </c>
      <c r="E90" s="808" t="s">
        <v>143</v>
      </c>
      <c r="F90" s="808"/>
      <c r="G90" s="808"/>
      <c r="H90" s="338"/>
      <c r="I90" s="338" t="s">
        <v>112</v>
      </c>
      <c r="J90" s="809" t="s">
        <v>144</v>
      </c>
      <c r="K90" s="809"/>
      <c r="L90" s="809"/>
      <c r="M90" s="809"/>
      <c r="N90" s="338"/>
      <c r="O90" s="338"/>
      <c r="P90" s="338"/>
      <c r="Q90" s="338"/>
      <c r="R90" s="338"/>
      <c r="S90" s="338"/>
      <c r="T90" s="338"/>
      <c r="U90" s="338"/>
      <c r="V90" s="166"/>
      <c r="W90" s="166"/>
      <c r="X90" s="166"/>
      <c r="Y90" s="166"/>
      <c r="Z90" s="166"/>
      <c r="AA90" s="166"/>
      <c r="AB90" s="166"/>
      <c r="AC90" s="166"/>
      <c r="AD90" s="166"/>
    </row>
    <row r="91" spans="1:30" ht="7.5" customHeight="1" x14ac:dyDescent="0.25">
      <c r="A91" s="164"/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/>
      <c r="P91" s="338"/>
      <c r="Q91" s="338"/>
      <c r="R91" s="338"/>
      <c r="S91" s="338"/>
      <c r="T91" s="338"/>
      <c r="U91" s="338"/>
      <c r="V91" s="166"/>
      <c r="W91" s="166"/>
      <c r="X91" s="166"/>
      <c r="Y91" s="166"/>
      <c r="Z91" s="166"/>
      <c r="AA91" s="166"/>
      <c r="AB91" s="166"/>
      <c r="AC91" s="166"/>
      <c r="AD91" s="166"/>
    </row>
    <row r="92" spans="1:30" x14ac:dyDescent="0.25">
      <c r="A92" s="164"/>
      <c r="B92" s="338"/>
      <c r="C92" s="338"/>
      <c r="D92" s="338" t="s">
        <v>114</v>
      </c>
      <c r="E92" s="340"/>
      <c r="F92" s="340"/>
      <c r="G92" s="340"/>
      <c r="H92" s="338"/>
      <c r="I92" s="338" t="s">
        <v>114</v>
      </c>
      <c r="J92" s="341"/>
      <c r="K92" s="341"/>
      <c r="L92" s="341"/>
      <c r="M92" s="341"/>
      <c r="N92" s="338"/>
      <c r="O92" s="338"/>
      <c r="P92" s="338"/>
      <c r="Q92" s="338"/>
      <c r="R92" s="338"/>
      <c r="S92" s="338"/>
      <c r="T92" s="338"/>
      <c r="U92" s="338"/>
      <c r="V92" s="166"/>
      <c r="W92" s="166"/>
      <c r="X92" s="166"/>
      <c r="Y92" s="166"/>
      <c r="Z92" s="166"/>
      <c r="AA92" s="166"/>
      <c r="AB92" s="166"/>
      <c r="AC92" s="166"/>
      <c r="AD92" s="166"/>
    </row>
    <row r="93" spans="1:30" x14ac:dyDescent="0.25">
      <c r="A93" s="164"/>
      <c r="B93" s="338"/>
      <c r="C93" s="338"/>
      <c r="D93" s="338"/>
      <c r="E93" s="340"/>
      <c r="F93" s="340"/>
      <c r="G93" s="340"/>
      <c r="H93" s="338"/>
      <c r="I93" s="338"/>
      <c r="J93" s="341"/>
      <c r="K93" s="341"/>
      <c r="L93" s="341"/>
      <c r="M93" s="341"/>
      <c r="N93" s="338"/>
      <c r="O93" s="338"/>
      <c r="P93" s="338"/>
      <c r="Q93" s="338"/>
      <c r="R93" s="338"/>
      <c r="S93" s="338"/>
      <c r="T93" s="338"/>
      <c r="U93" s="338"/>
      <c r="V93" s="166"/>
      <c r="W93" s="166"/>
      <c r="X93" s="166"/>
      <c r="Y93" s="166"/>
      <c r="Z93" s="166"/>
      <c r="AA93" s="166"/>
      <c r="AB93" s="166"/>
      <c r="AC93" s="166"/>
      <c r="AD93" s="166"/>
    </row>
    <row r="94" spans="1:30" x14ac:dyDescent="0.25">
      <c r="A94" s="164"/>
      <c r="B94" s="338"/>
      <c r="C94" s="338"/>
      <c r="D94" s="338"/>
      <c r="E94" s="338"/>
      <c r="F94" s="338"/>
      <c r="G94" s="338"/>
      <c r="H94" s="338"/>
      <c r="I94" s="338"/>
      <c r="J94" s="338"/>
      <c r="K94" s="338"/>
      <c r="L94" s="338"/>
      <c r="M94" s="338"/>
      <c r="N94" s="338"/>
      <c r="O94" s="338"/>
      <c r="P94" s="338"/>
      <c r="Q94" s="338"/>
      <c r="R94" s="338"/>
      <c r="S94" s="338"/>
      <c r="T94" s="338"/>
      <c r="U94" s="338"/>
      <c r="V94" s="166"/>
      <c r="W94" s="166"/>
      <c r="X94" s="166"/>
      <c r="Y94" s="166"/>
      <c r="Z94" s="166"/>
      <c r="AA94" s="166"/>
      <c r="AB94" s="166"/>
      <c r="AC94" s="166"/>
      <c r="AD94" s="166"/>
    </row>
    <row r="95" spans="1:30" x14ac:dyDescent="0.25">
      <c r="A95" s="164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166"/>
      <c r="W95" s="166"/>
      <c r="X95" s="166"/>
      <c r="Y95" s="166"/>
      <c r="Z95" s="166"/>
      <c r="AA95" s="166"/>
      <c r="AB95" s="166"/>
      <c r="AC95" s="166"/>
      <c r="AD95" s="166"/>
    </row>
    <row r="96" spans="1:30" hidden="1" x14ac:dyDescent="0.25"/>
    <row r="112" ht="15" hidden="1" customHeight="1" x14ac:dyDescent="0.25"/>
    <row r="126" ht="15" hidden="1" customHeight="1" x14ac:dyDescent="0.25"/>
    <row r="127" ht="15" hidden="1" customHeight="1" x14ac:dyDescent="0.25"/>
    <row r="276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0:U60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8:U58"/>
    <mergeCell ref="V26:X26"/>
    <mergeCell ref="Y26:Y27"/>
    <mergeCell ref="B61:U61"/>
    <mergeCell ref="B62:U62"/>
    <mergeCell ref="B81:U81"/>
    <mergeCell ref="E90:G90"/>
    <mergeCell ref="J90:M90"/>
  </mergeCells>
  <conditionalFormatting sqref="AB15:AB25">
    <cfRule type="cellIs" dxfId="71" priority="1" operator="equal">
      <formula>0</formula>
    </cfRule>
    <cfRule type="containsErrors" dxfId="70" priority="2">
      <formula>ISERROR(AB15)</formula>
    </cfRule>
  </conditionalFormatting>
  <conditionalFormatting sqref="AB28:AB41">
    <cfRule type="cellIs" dxfId="69" priority="3" operator="equal">
      <formula>0</formula>
    </cfRule>
    <cfRule type="containsErrors" dxfId="68" priority="4">
      <formula>ISERROR(AB28)</formula>
    </cfRule>
  </conditionalFormatting>
  <pageMargins left="0.70833333333333304" right="0.70833333333333304" top="0.78749999999999998" bottom="0.78749999999999998" header="0.511811023622047" footer="0.511811023622047"/>
  <pageSetup paperSize="8" scale="4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128"/>
  <sheetViews>
    <sheetView showGridLines="0" view="pageBreakPreview" topLeftCell="F1" zoomScale="80" zoomScaleNormal="80" zoomScaleSheetLayoutView="80" workbookViewId="0">
      <selection activeCell="Z30" sqref="Z3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59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3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212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46789723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27" t="s">
        <v>213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9</v>
      </c>
      <c r="K10" s="883"/>
      <c r="L10" s="883"/>
      <c r="M10" s="883"/>
      <c r="N10" s="883"/>
      <c r="O10" s="884"/>
      <c r="P10" s="882" t="s">
        <v>10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890"/>
      <c r="H14" s="892"/>
      <c r="I14" s="912"/>
      <c r="J14" s="11" t="s">
        <v>20</v>
      </c>
      <c r="K14" s="12" t="s">
        <v>21</v>
      </c>
      <c r="L14" s="12" t="s">
        <v>22</v>
      </c>
      <c r="M14" s="890"/>
      <c r="N14" s="892"/>
      <c r="O14" s="912"/>
      <c r="P14" s="11" t="s">
        <v>20</v>
      </c>
      <c r="Q14" s="12" t="s">
        <v>21</v>
      </c>
      <c r="R14" s="12" t="s">
        <v>22</v>
      </c>
      <c r="S14" s="890"/>
      <c r="T14" s="892"/>
      <c r="U14" s="912"/>
      <c r="V14" s="11" t="s">
        <v>20</v>
      </c>
      <c r="W14" s="12" t="s">
        <v>21</v>
      </c>
      <c r="X14" s="12" t="s">
        <v>22</v>
      </c>
      <c r="Y14" s="890"/>
      <c r="Z14" s="892"/>
      <c r="AA14" s="912"/>
      <c r="AB14" s="902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1715.4</v>
      </c>
      <c r="G15" s="18">
        <v>1547.6</v>
      </c>
      <c r="H15" s="19">
        <v>167.8</v>
      </c>
      <c r="I15" s="20">
        <f>G15+H15</f>
        <v>1715.3999999999999</v>
      </c>
      <c r="J15" s="15"/>
      <c r="K15" s="16"/>
      <c r="L15" s="17">
        <v>2070</v>
      </c>
      <c r="M15" s="18">
        <f t="shared" ref="M15:M23" si="0">SUM(J15:L15)</f>
        <v>2070</v>
      </c>
      <c r="N15" s="19">
        <v>0</v>
      </c>
      <c r="O15" s="20">
        <f>M15+N15</f>
        <v>2070</v>
      </c>
      <c r="P15" s="15"/>
      <c r="Q15" s="16"/>
      <c r="R15" s="17">
        <v>1442.9</v>
      </c>
      <c r="S15" s="18">
        <f>SUM(P15:R15)</f>
        <v>1442.9</v>
      </c>
      <c r="T15" s="19">
        <v>0</v>
      </c>
      <c r="U15" s="20">
        <f>S15+T15</f>
        <v>1442.9</v>
      </c>
      <c r="V15" s="15"/>
      <c r="W15" s="16"/>
      <c r="X15" s="17">
        <v>2120</v>
      </c>
      <c r="Y15" s="18">
        <f>SUM(V15:X15)</f>
        <v>2120</v>
      </c>
      <c r="Z15" s="19">
        <v>0</v>
      </c>
      <c r="AA15" s="20">
        <f>Y15+Z15</f>
        <v>2120</v>
      </c>
      <c r="AB15" s="21">
        <f>(AA15/O15)</f>
        <v>1.0241545893719808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5884.5</v>
      </c>
      <c r="E16" s="25"/>
      <c r="F16" s="25"/>
      <c r="G16" s="26">
        <f t="shared" ref="G16:G23" si="1">SUM(D16:F16)</f>
        <v>5884.5</v>
      </c>
      <c r="H16" s="27"/>
      <c r="I16" s="20">
        <f t="shared" ref="I16:I23" si="2">G16+H16</f>
        <v>5884.5</v>
      </c>
      <c r="J16" s="24">
        <v>6199.1</v>
      </c>
      <c r="K16" s="25"/>
      <c r="L16" s="25"/>
      <c r="M16" s="26">
        <f t="shared" si="0"/>
        <v>6199.1</v>
      </c>
      <c r="N16" s="27"/>
      <c r="O16" s="20">
        <f t="shared" ref="O16:O20" si="3">M16+N16</f>
        <v>6199.1</v>
      </c>
      <c r="P16" s="24">
        <v>3354.9</v>
      </c>
      <c r="Q16" s="25"/>
      <c r="R16" s="25"/>
      <c r="S16" s="26">
        <f t="shared" ref="S16:S23" si="4">SUM(P16:R16)</f>
        <v>3354.9</v>
      </c>
      <c r="T16" s="27"/>
      <c r="U16" s="20">
        <f t="shared" ref="U16:U20" si="5">S16+T16</f>
        <v>3354.9</v>
      </c>
      <c r="V16" s="24">
        <v>8200</v>
      </c>
      <c r="W16" s="25"/>
      <c r="X16" s="25"/>
      <c r="Y16" s="26">
        <f t="shared" ref="Y16:Y23" si="6">SUM(V16:X16)</f>
        <v>8200</v>
      </c>
      <c r="Z16" s="27"/>
      <c r="AA16" s="20">
        <f t="shared" ref="AA16:AA20" si="7">Y16+Z16</f>
        <v>8200</v>
      </c>
      <c r="AB16" s="21">
        <f t="shared" ref="AB16:AB24" si="8">(AA16/O16)</f>
        <v>1.3227726605474988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469.8</v>
      </c>
      <c r="E17" s="30"/>
      <c r="F17" s="30"/>
      <c r="G17" s="26">
        <f t="shared" si="1"/>
        <v>469.8</v>
      </c>
      <c r="H17" s="31"/>
      <c r="I17" s="20">
        <f t="shared" si="2"/>
        <v>469.8</v>
      </c>
      <c r="J17" s="29">
        <v>2135.1</v>
      </c>
      <c r="K17" s="30"/>
      <c r="L17" s="30"/>
      <c r="M17" s="26">
        <f t="shared" si="0"/>
        <v>2135.1</v>
      </c>
      <c r="N17" s="31"/>
      <c r="O17" s="20">
        <f t="shared" si="3"/>
        <v>2135.1</v>
      </c>
      <c r="P17" s="29">
        <v>64</v>
      </c>
      <c r="Q17" s="30"/>
      <c r="R17" s="30"/>
      <c r="S17" s="26">
        <f t="shared" si="4"/>
        <v>64</v>
      </c>
      <c r="T17" s="31"/>
      <c r="U17" s="20">
        <f t="shared" si="5"/>
        <v>64</v>
      </c>
      <c r="V17" s="29">
        <v>286.10000000000002</v>
      </c>
      <c r="W17" s="30"/>
      <c r="X17" s="30"/>
      <c r="Y17" s="26">
        <f t="shared" si="6"/>
        <v>286.10000000000002</v>
      </c>
      <c r="Z17" s="31"/>
      <c r="AA17" s="20">
        <f t="shared" si="7"/>
        <v>286.10000000000002</v>
      </c>
      <c r="AB17" s="21">
        <f t="shared" si="8"/>
        <v>0.13399840756873216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42705.7</v>
      </c>
      <c r="F18" s="30"/>
      <c r="G18" s="26">
        <f t="shared" si="1"/>
        <v>42705.7</v>
      </c>
      <c r="H18" s="19"/>
      <c r="I18" s="20">
        <f t="shared" si="2"/>
        <v>42705.7</v>
      </c>
      <c r="J18" s="33"/>
      <c r="K18" s="34">
        <v>42513.4</v>
      </c>
      <c r="L18" s="30"/>
      <c r="M18" s="26">
        <f t="shared" si="0"/>
        <v>42513.4</v>
      </c>
      <c r="N18" s="19"/>
      <c r="O18" s="20">
        <f t="shared" si="3"/>
        <v>42513.4</v>
      </c>
      <c r="P18" s="33"/>
      <c r="Q18" s="34">
        <v>20367.099999999999</v>
      </c>
      <c r="R18" s="30"/>
      <c r="S18" s="26">
        <f t="shared" si="4"/>
        <v>20367.099999999999</v>
      </c>
      <c r="T18" s="19"/>
      <c r="U18" s="20">
        <f t="shared" si="5"/>
        <v>20367.099999999999</v>
      </c>
      <c r="V18" s="33"/>
      <c r="W18" s="34">
        <v>42690</v>
      </c>
      <c r="X18" s="30"/>
      <c r="Y18" s="26">
        <f t="shared" si="6"/>
        <v>42690</v>
      </c>
      <c r="Z18" s="19"/>
      <c r="AA18" s="20">
        <f t="shared" si="7"/>
        <v>42690</v>
      </c>
      <c r="AB18" s="21">
        <f t="shared" si="8"/>
        <v>1.0041539843908038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>
        <v>977</v>
      </c>
      <c r="G19" s="26">
        <f t="shared" si="1"/>
        <v>977</v>
      </c>
      <c r="H19" s="38"/>
      <c r="I19" s="20">
        <f t="shared" si="2"/>
        <v>977</v>
      </c>
      <c r="J19" s="36"/>
      <c r="K19" s="30"/>
      <c r="L19" s="37">
        <v>977</v>
      </c>
      <c r="M19" s="26">
        <f t="shared" si="0"/>
        <v>977</v>
      </c>
      <c r="N19" s="38"/>
      <c r="O19" s="20">
        <f t="shared" si="3"/>
        <v>977</v>
      </c>
      <c r="P19" s="36"/>
      <c r="Q19" s="30"/>
      <c r="R19" s="37">
        <v>488.5</v>
      </c>
      <c r="S19" s="26">
        <f t="shared" si="4"/>
        <v>488.5</v>
      </c>
      <c r="T19" s="38"/>
      <c r="U19" s="20">
        <f t="shared" si="5"/>
        <v>488.5</v>
      </c>
      <c r="V19" s="36"/>
      <c r="W19" s="30"/>
      <c r="X19" s="37">
        <v>977</v>
      </c>
      <c r="Y19" s="26">
        <f t="shared" si="6"/>
        <v>977</v>
      </c>
      <c r="Z19" s="38"/>
      <c r="AA19" s="20">
        <f t="shared" si="7"/>
        <v>977</v>
      </c>
      <c r="AB19" s="21">
        <f t="shared" si="8"/>
        <v>1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537.6</v>
      </c>
      <c r="G20" s="26">
        <v>537.6</v>
      </c>
      <c r="H20" s="38"/>
      <c r="I20" s="20">
        <f t="shared" si="2"/>
        <v>537.6</v>
      </c>
      <c r="J20" s="33"/>
      <c r="K20" s="25"/>
      <c r="L20" s="40">
        <v>300</v>
      </c>
      <c r="M20" s="26">
        <f t="shared" si="0"/>
        <v>300</v>
      </c>
      <c r="N20" s="38"/>
      <c r="O20" s="20">
        <f t="shared" si="3"/>
        <v>300</v>
      </c>
      <c r="P20" s="33"/>
      <c r="Q20" s="25"/>
      <c r="R20" s="40"/>
      <c r="S20" s="26">
        <f t="shared" si="4"/>
        <v>0</v>
      </c>
      <c r="T20" s="38"/>
      <c r="U20" s="20">
        <f t="shared" si="5"/>
        <v>0</v>
      </c>
      <c r="V20" s="33"/>
      <c r="W20" s="25"/>
      <c r="X20" s="40">
        <v>200</v>
      </c>
      <c r="Y20" s="26">
        <f t="shared" si="6"/>
        <v>200</v>
      </c>
      <c r="Z20" s="38"/>
      <c r="AA20" s="20">
        <f t="shared" si="7"/>
        <v>200</v>
      </c>
      <c r="AB20" s="21">
        <f t="shared" si="8"/>
        <v>0.66666666666666663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370.3</v>
      </c>
      <c r="G21" s="26">
        <f t="shared" si="1"/>
        <v>370.3</v>
      </c>
      <c r="H21" s="42"/>
      <c r="I21" s="20">
        <f>G21+H21</f>
        <v>370.3</v>
      </c>
      <c r="J21" s="33"/>
      <c r="K21" s="25"/>
      <c r="L21" s="40">
        <v>132</v>
      </c>
      <c r="M21" s="26">
        <f t="shared" si="0"/>
        <v>132</v>
      </c>
      <c r="N21" s="42">
        <v>210</v>
      </c>
      <c r="O21" s="20">
        <f>M21+N21</f>
        <v>342</v>
      </c>
      <c r="P21" s="33"/>
      <c r="Q21" s="25"/>
      <c r="R21" s="40">
        <v>131.80000000000001</v>
      </c>
      <c r="S21" s="26">
        <f t="shared" si="4"/>
        <v>131.80000000000001</v>
      </c>
      <c r="T21" s="42">
        <v>156</v>
      </c>
      <c r="U21" s="20">
        <f>S21+T21</f>
        <v>287.8</v>
      </c>
      <c r="V21" s="33"/>
      <c r="W21" s="25"/>
      <c r="X21" s="40"/>
      <c r="Y21" s="26">
        <f t="shared" si="6"/>
        <v>0</v>
      </c>
      <c r="Z21" s="42">
        <v>215</v>
      </c>
      <c r="AA21" s="20">
        <f>Y21+Z21</f>
        <v>215</v>
      </c>
      <c r="AB21" s="21">
        <f t="shared" si="8"/>
        <v>0.62865497076023391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>
        <v>0</v>
      </c>
      <c r="G22" s="26">
        <f t="shared" si="1"/>
        <v>0</v>
      </c>
      <c r="H22" s="42"/>
      <c r="I22" s="20">
        <f t="shared" si="2"/>
        <v>0</v>
      </c>
      <c r="J22" s="33"/>
      <c r="K22" s="25"/>
      <c r="L22" s="40"/>
      <c r="M22" s="26">
        <f t="shared" si="0"/>
        <v>0</v>
      </c>
      <c r="N22" s="42">
        <v>200</v>
      </c>
      <c r="O22" s="20">
        <f t="shared" ref="O22:O23" si="9">M22+N22</f>
        <v>200</v>
      </c>
      <c r="P22" s="33"/>
      <c r="Q22" s="25"/>
      <c r="R22" s="40"/>
      <c r="S22" s="26">
        <f t="shared" si="4"/>
        <v>0</v>
      </c>
      <c r="T22" s="42">
        <v>0</v>
      </c>
      <c r="U22" s="20">
        <f t="shared" ref="U22:U23" si="10">S22+T22</f>
        <v>0</v>
      </c>
      <c r="V22" s="33"/>
      <c r="W22" s="25"/>
      <c r="X22" s="40"/>
      <c r="Y22" s="26">
        <f t="shared" si="6"/>
        <v>0</v>
      </c>
      <c r="Z22" s="42">
        <v>205</v>
      </c>
      <c r="AA22" s="20">
        <f t="shared" ref="AA22:AA23" si="11">Y22+Z22</f>
        <v>205</v>
      </c>
      <c r="AB22" s="21">
        <f t="shared" si="8"/>
        <v>1.0249999999999999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>
        <v>0</v>
      </c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4"/>
        <v>0</v>
      </c>
      <c r="T23" s="49"/>
      <c r="U23" s="50">
        <f t="shared" si="10"/>
        <v>0</v>
      </c>
      <c r="V23" s="45"/>
      <c r="W23" s="46"/>
      <c r="X23" s="47"/>
      <c r="Y23" s="48">
        <f t="shared" si="6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6354.3</v>
      </c>
      <c r="E24" s="55">
        <f>SUM(E15:E21)</f>
        <v>42705.7</v>
      </c>
      <c r="F24" s="55">
        <f>SUM(F15:F21)</f>
        <v>3600.3</v>
      </c>
      <c r="G24" s="56">
        <f>SUM(D24:F24)</f>
        <v>52660.3</v>
      </c>
      <c r="H24" s="57">
        <f>SUM(H15:H21)</f>
        <v>167.8</v>
      </c>
      <c r="I24" s="57">
        <f>SUM(I15:I21)</f>
        <v>52660.299999999996</v>
      </c>
      <c r="J24" s="54">
        <f>SUM(J15:J21)</f>
        <v>8334.2000000000007</v>
      </c>
      <c r="K24" s="55">
        <f>SUM(K15:K21)</f>
        <v>42513.4</v>
      </c>
      <c r="L24" s="55">
        <f>SUM(L15:L21)</f>
        <v>3479</v>
      </c>
      <c r="M24" s="56">
        <f>SUM(J24:L24)</f>
        <v>54326.600000000006</v>
      </c>
      <c r="N24" s="57">
        <f>SUM(N15:N21)</f>
        <v>210</v>
      </c>
      <c r="O24" s="57">
        <f>SUM(O15:O21)</f>
        <v>54536.600000000006</v>
      </c>
      <c r="P24" s="54">
        <f>SUM(P15:P21)</f>
        <v>3418.9</v>
      </c>
      <c r="Q24" s="55">
        <f>SUM(Q15:Q21)</f>
        <v>20367.099999999999</v>
      </c>
      <c r="R24" s="55">
        <f>SUM(R15:R21)</f>
        <v>2063.2000000000003</v>
      </c>
      <c r="S24" s="56">
        <f>SUM(P24:R24)</f>
        <v>25849.200000000001</v>
      </c>
      <c r="T24" s="57">
        <f>SUM(T15:T21)</f>
        <v>156</v>
      </c>
      <c r="U24" s="57">
        <f>SUM(U15:U21)</f>
        <v>26005.199999999997</v>
      </c>
      <c r="V24" s="54">
        <f>SUM(V15:V21)</f>
        <v>8486.1</v>
      </c>
      <c r="W24" s="55">
        <f>SUM(W15:W21)</f>
        <v>42690</v>
      </c>
      <c r="X24" s="55">
        <f>SUM(X15:X21)</f>
        <v>3297</v>
      </c>
      <c r="Y24" s="56">
        <f>SUM(V24:X24)</f>
        <v>54473.1</v>
      </c>
      <c r="Z24" s="57">
        <f>SUM(Z15:Z21)</f>
        <v>215</v>
      </c>
      <c r="AA24" s="57">
        <f>SUM(AA15:AA21)</f>
        <v>54688.1</v>
      </c>
      <c r="AB24" s="58">
        <f t="shared" si="8"/>
        <v>1.002777950954038</v>
      </c>
      <c r="AC24" s="3"/>
      <c r="AD24" s="3"/>
    </row>
    <row r="25" spans="1:30" ht="15.75" customHeight="1" thickBot="1" x14ac:dyDescent="0.3">
      <c r="A25" s="1"/>
      <c r="B25" s="59"/>
      <c r="C25" s="60"/>
      <c r="D25" s="885" t="s">
        <v>43</v>
      </c>
      <c r="E25" s="886"/>
      <c r="F25" s="886"/>
      <c r="G25" s="887"/>
      <c r="H25" s="887"/>
      <c r="I25" s="888"/>
      <c r="J25" s="885" t="s">
        <v>43</v>
      </c>
      <c r="K25" s="886"/>
      <c r="L25" s="886"/>
      <c r="M25" s="887"/>
      <c r="N25" s="887"/>
      <c r="O25" s="888"/>
      <c r="P25" s="885" t="s">
        <v>43</v>
      </c>
      <c r="Q25" s="886"/>
      <c r="R25" s="886"/>
      <c r="S25" s="887"/>
      <c r="T25" s="887"/>
      <c r="U25" s="888"/>
      <c r="V25" s="885" t="s">
        <v>43</v>
      </c>
      <c r="W25" s="886"/>
      <c r="X25" s="886"/>
      <c r="Y25" s="887"/>
      <c r="Z25" s="887"/>
      <c r="AA25" s="888"/>
      <c r="AB25" s="893" t="s">
        <v>12</v>
      </c>
      <c r="AC25" s="3"/>
      <c r="AD25" s="3"/>
    </row>
    <row r="26" spans="1:30" ht="15.75" thickBot="1" x14ac:dyDescent="0.3">
      <c r="A26" s="1"/>
      <c r="B26" s="932" t="s">
        <v>6</v>
      </c>
      <c r="C26" s="917" t="s">
        <v>7</v>
      </c>
      <c r="D26" s="896" t="s">
        <v>44</v>
      </c>
      <c r="E26" s="897"/>
      <c r="F26" s="897"/>
      <c r="G26" s="913" t="s">
        <v>45</v>
      </c>
      <c r="H26" s="915" t="s">
        <v>46</v>
      </c>
      <c r="I26" s="898" t="s">
        <v>43</v>
      </c>
      <c r="J26" s="896" t="s">
        <v>44</v>
      </c>
      <c r="K26" s="897"/>
      <c r="L26" s="897"/>
      <c r="M26" s="913" t="s">
        <v>45</v>
      </c>
      <c r="N26" s="915" t="s">
        <v>46</v>
      </c>
      <c r="O26" s="898" t="s">
        <v>43</v>
      </c>
      <c r="P26" s="896" t="s">
        <v>44</v>
      </c>
      <c r="Q26" s="897"/>
      <c r="R26" s="897"/>
      <c r="S26" s="913" t="s">
        <v>45</v>
      </c>
      <c r="T26" s="915" t="s">
        <v>46</v>
      </c>
      <c r="U26" s="898" t="s">
        <v>43</v>
      </c>
      <c r="V26" s="896" t="s">
        <v>44</v>
      </c>
      <c r="W26" s="897"/>
      <c r="X26" s="897"/>
      <c r="Y26" s="913" t="s">
        <v>45</v>
      </c>
      <c r="Z26" s="915" t="s">
        <v>46</v>
      </c>
      <c r="AA26" s="898" t="s">
        <v>43</v>
      </c>
      <c r="AB26" s="894"/>
      <c r="AC26" s="3"/>
      <c r="AD26" s="3"/>
    </row>
    <row r="27" spans="1:30" ht="15.75" thickBot="1" x14ac:dyDescent="0.3">
      <c r="A27" s="1"/>
      <c r="B27" s="933"/>
      <c r="C27" s="918"/>
      <c r="D27" s="61" t="s">
        <v>47</v>
      </c>
      <c r="E27" s="62" t="s">
        <v>48</v>
      </c>
      <c r="F27" s="63" t="s">
        <v>49</v>
      </c>
      <c r="G27" s="914"/>
      <c r="H27" s="916"/>
      <c r="I27" s="899"/>
      <c r="J27" s="61" t="s">
        <v>47</v>
      </c>
      <c r="K27" s="62" t="s">
        <v>48</v>
      </c>
      <c r="L27" s="63" t="s">
        <v>49</v>
      </c>
      <c r="M27" s="914"/>
      <c r="N27" s="916"/>
      <c r="O27" s="899"/>
      <c r="P27" s="61" t="s">
        <v>47</v>
      </c>
      <c r="Q27" s="62" t="s">
        <v>48</v>
      </c>
      <c r="R27" s="63" t="s">
        <v>49</v>
      </c>
      <c r="S27" s="914"/>
      <c r="T27" s="916"/>
      <c r="U27" s="899"/>
      <c r="V27" s="61" t="s">
        <v>47</v>
      </c>
      <c r="W27" s="62" t="s">
        <v>48</v>
      </c>
      <c r="X27" s="63" t="s">
        <v>49</v>
      </c>
      <c r="Y27" s="914"/>
      <c r="Z27" s="916"/>
      <c r="AA27" s="899"/>
      <c r="AB27" s="895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1011.1</v>
      </c>
      <c r="E28" s="65"/>
      <c r="F28" s="65"/>
      <c r="G28" s="66">
        <v>1011.1</v>
      </c>
      <c r="H28" s="66"/>
      <c r="I28" s="67">
        <f>G28+H28</f>
        <v>1011.1</v>
      </c>
      <c r="J28" s="68">
        <v>549.6</v>
      </c>
      <c r="K28" s="65"/>
      <c r="L28" s="65"/>
      <c r="M28" s="66">
        <f>SUM(J28:L28)</f>
        <v>549.6</v>
      </c>
      <c r="N28" s="66"/>
      <c r="O28" s="67">
        <f>M28+N28</f>
        <v>549.6</v>
      </c>
      <c r="P28" s="68">
        <v>222.8</v>
      </c>
      <c r="Q28" s="65"/>
      <c r="R28" s="65"/>
      <c r="S28" s="66">
        <f>SUM(P28:R28)</f>
        <v>222.8</v>
      </c>
      <c r="T28" s="66"/>
      <c r="U28" s="67">
        <f>S28+T28</f>
        <v>222.8</v>
      </c>
      <c r="V28" s="68">
        <v>500</v>
      </c>
      <c r="W28" s="65"/>
      <c r="X28" s="65"/>
      <c r="Y28" s="66">
        <f>SUM(V28:X28)</f>
        <v>500</v>
      </c>
      <c r="Z28" s="66"/>
      <c r="AA28" s="67">
        <f>Y28+Z28</f>
        <v>500</v>
      </c>
      <c r="AB28" s="21">
        <f t="shared" ref="AB28:AB41" si="12">(AA28/O28)</f>
        <v>0.9097525473071324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539.9</v>
      </c>
      <c r="E29" s="70">
        <v>204.6</v>
      </c>
      <c r="F29" s="70">
        <v>1640.4</v>
      </c>
      <c r="G29" s="71">
        <f>SUM(D29+E29+F29)</f>
        <v>2384.9</v>
      </c>
      <c r="H29" s="72"/>
      <c r="I29" s="20">
        <f t="shared" ref="I29:I38" si="13">G29+H29</f>
        <v>2384.9</v>
      </c>
      <c r="J29" s="73">
        <v>834</v>
      </c>
      <c r="K29" s="70">
        <v>200</v>
      </c>
      <c r="L29" s="70">
        <v>2020</v>
      </c>
      <c r="M29" s="71">
        <f t="shared" ref="M29:M38" si="14">SUM(J29:L29)</f>
        <v>3054</v>
      </c>
      <c r="N29" s="72"/>
      <c r="O29" s="20">
        <f t="shared" ref="O29:O38" si="15">M29+N29</f>
        <v>3054</v>
      </c>
      <c r="P29" s="73">
        <v>183.2</v>
      </c>
      <c r="Q29" s="70">
        <v>52.5</v>
      </c>
      <c r="R29" s="70">
        <v>1408.8</v>
      </c>
      <c r="S29" s="71">
        <f t="shared" ref="S29:S37" si="16">SUM(P29:R29)</f>
        <v>1644.5</v>
      </c>
      <c r="T29" s="72"/>
      <c r="U29" s="20">
        <f t="shared" ref="U29:U38" si="17">S29+T29</f>
        <v>1644.5</v>
      </c>
      <c r="V29" s="73">
        <v>400</v>
      </c>
      <c r="W29" s="70">
        <v>300</v>
      </c>
      <c r="X29" s="70">
        <v>2070</v>
      </c>
      <c r="Y29" s="71">
        <f t="shared" ref="Y29:Y38" si="18">SUM(V29:X29)</f>
        <v>2770</v>
      </c>
      <c r="Z29" s="72"/>
      <c r="AA29" s="20">
        <f t="shared" ref="AA29:AA38" si="19">Y29+Z29</f>
        <v>2770</v>
      </c>
      <c r="AB29" s="21">
        <f t="shared" si="12"/>
        <v>0.90700720366732157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2489.8000000000002</v>
      </c>
      <c r="E30" s="74"/>
      <c r="F30" s="74" t="s">
        <v>132</v>
      </c>
      <c r="G30" s="71">
        <v>2489.8000000000002</v>
      </c>
      <c r="H30" s="71">
        <v>39.299999999999997</v>
      </c>
      <c r="I30" s="20">
        <f t="shared" si="13"/>
        <v>2529.1000000000004</v>
      </c>
      <c r="J30" s="75">
        <v>4000</v>
      </c>
      <c r="K30" s="74"/>
      <c r="L30" s="74"/>
      <c r="M30" s="71">
        <f t="shared" si="14"/>
        <v>4000</v>
      </c>
      <c r="N30" s="71">
        <v>60</v>
      </c>
      <c r="O30" s="20">
        <f t="shared" si="15"/>
        <v>4060</v>
      </c>
      <c r="P30" s="75">
        <v>1781.4</v>
      </c>
      <c r="Q30" s="74"/>
      <c r="R30" s="74"/>
      <c r="S30" s="71">
        <f t="shared" si="16"/>
        <v>1781.4</v>
      </c>
      <c r="T30" s="71">
        <v>3.4</v>
      </c>
      <c r="U30" s="20">
        <f t="shared" si="17"/>
        <v>1784.8000000000002</v>
      </c>
      <c r="V30" s="75">
        <v>4680</v>
      </c>
      <c r="W30" s="74"/>
      <c r="X30" s="74"/>
      <c r="Y30" s="71">
        <f t="shared" si="18"/>
        <v>4680</v>
      </c>
      <c r="Z30" s="71">
        <v>215</v>
      </c>
      <c r="AA30" s="20">
        <f t="shared" si="19"/>
        <v>4895</v>
      </c>
      <c r="AB30" s="21">
        <f t="shared" si="12"/>
        <v>1.2056650246305418</v>
      </c>
      <c r="AC30" s="3"/>
      <c r="AD30" s="3"/>
    </row>
    <row r="31" spans="1:30" x14ac:dyDescent="0.25">
      <c r="A31" s="1"/>
      <c r="B31" s="22" t="s">
        <v>56</v>
      </c>
      <c r="C31" s="41" t="s">
        <v>57</v>
      </c>
      <c r="D31" s="74">
        <v>897.7</v>
      </c>
      <c r="E31" s="74">
        <v>106.3</v>
      </c>
      <c r="F31" s="74"/>
      <c r="G31" s="71">
        <f>SUM(D31+E31)</f>
        <v>1004</v>
      </c>
      <c r="H31" s="71">
        <v>0.9</v>
      </c>
      <c r="I31" s="20">
        <f t="shared" si="13"/>
        <v>1004.9</v>
      </c>
      <c r="J31" s="75">
        <v>911.7</v>
      </c>
      <c r="K31" s="74"/>
      <c r="L31" s="74"/>
      <c r="M31" s="71">
        <f t="shared" si="14"/>
        <v>911.7</v>
      </c>
      <c r="N31" s="71"/>
      <c r="O31" s="20">
        <f t="shared" si="15"/>
        <v>911.7</v>
      </c>
      <c r="P31" s="75">
        <v>477.4</v>
      </c>
      <c r="Q31" s="74"/>
      <c r="R31" s="74"/>
      <c r="S31" s="71">
        <f t="shared" si="16"/>
        <v>477.4</v>
      </c>
      <c r="T31" s="71"/>
      <c r="U31" s="20">
        <f t="shared" si="17"/>
        <v>477.4</v>
      </c>
      <c r="V31" s="75">
        <v>931</v>
      </c>
      <c r="W31" s="74"/>
      <c r="X31" s="74"/>
      <c r="Y31" s="71">
        <f t="shared" si="18"/>
        <v>931</v>
      </c>
      <c r="Z31" s="71"/>
      <c r="AA31" s="20">
        <f t="shared" si="19"/>
        <v>931</v>
      </c>
      <c r="AB31" s="21">
        <f t="shared" si="12"/>
        <v>1.0211692442689482</v>
      </c>
      <c r="AC31" s="3"/>
      <c r="AD31" s="3"/>
    </row>
    <row r="32" spans="1:30" x14ac:dyDescent="0.25">
      <c r="A32" s="1"/>
      <c r="B32" s="22" t="s">
        <v>58</v>
      </c>
      <c r="C32" s="41" t="s">
        <v>59</v>
      </c>
      <c r="D32" s="76">
        <v>220.7</v>
      </c>
      <c r="E32" s="74">
        <v>30673.599999999999</v>
      </c>
      <c r="F32" s="74">
        <v>2.9</v>
      </c>
      <c r="G32" s="71">
        <f>SUM(D32+E32+F32)</f>
        <v>30897.200000000001</v>
      </c>
      <c r="H32" s="71"/>
      <c r="I32" s="20">
        <f t="shared" si="13"/>
        <v>30897.200000000001</v>
      </c>
      <c r="J32" s="77">
        <v>133</v>
      </c>
      <c r="K32" s="74">
        <v>31243.200000000001</v>
      </c>
      <c r="L32" s="74">
        <v>120</v>
      </c>
      <c r="M32" s="71">
        <f t="shared" si="14"/>
        <v>31496.2</v>
      </c>
      <c r="N32" s="71"/>
      <c r="O32" s="20">
        <f t="shared" si="15"/>
        <v>31496.2</v>
      </c>
      <c r="P32" s="77"/>
      <c r="Q32" s="74">
        <v>14976.5</v>
      </c>
      <c r="R32" s="74"/>
      <c r="S32" s="71">
        <f t="shared" si="16"/>
        <v>14976.5</v>
      </c>
      <c r="T32" s="71"/>
      <c r="U32" s="20">
        <f t="shared" si="17"/>
        <v>14976.5</v>
      </c>
      <c r="V32" s="77">
        <v>120</v>
      </c>
      <c r="W32" s="74">
        <v>31000</v>
      </c>
      <c r="X32" s="74"/>
      <c r="Y32" s="71">
        <f t="shared" si="18"/>
        <v>31120</v>
      </c>
      <c r="Z32" s="71"/>
      <c r="AA32" s="20">
        <v>31120</v>
      </c>
      <c r="AB32" s="21">
        <f t="shared" si="12"/>
        <v>0.98805570195769643</v>
      </c>
      <c r="AC32" s="3"/>
      <c r="AD32" s="3"/>
    </row>
    <row r="33" spans="1:30" x14ac:dyDescent="0.25">
      <c r="A33" s="1"/>
      <c r="B33" s="22" t="s">
        <v>60</v>
      </c>
      <c r="C33" s="35" t="s">
        <v>61</v>
      </c>
      <c r="D33" s="76">
        <v>220.7</v>
      </c>
      <c r="E33" s="74">
        <v>30497.9</v>
      </c>
      <c r="F33" s="74">
        <v>2.9</v>
      </c>
      <c r="G33" s="71">
        <f>SUM(D33+E33+F33)</f>
        <v>30721.500000000004</v>
      </c>
      <c r="H33" s="71"/>
      <c r="I33" s="20">
        <f t="shared" si="13"/>
        <v>30721.500000000004</v>
      </c>
      <c r="J33" s="77">
        <v>133</v>
      </c>
      <c r="K33" s="74">
        <v>30943.200000000001</v>
      </c>
      <c r="L33" s="74"/>
      <c r="M33" s="71">
        <f t="shared" si="14"/>
        <v>31076.2</v>
      </c>
      <c r="N33" s="71"/>
      <c r="O33" s="20">
        <f t="shared" si="15"/>
        <v>31076.2</v>
      </c>
      <c r="P33" s="77"/>
      <c r="Q33" s="74">
        <v>14747.7</v>
      </c>
      <c r="R33" s="74"/>
      <c r="S33" s="71">
        <f t="shared" si="16"/>
        <v>14747.7</v>
      </c>
      <c r="T33" s="71"/>
      <c r="U33" s="20">
        <f t="shared" si="17"/>
        <v>14747.7</v>
      </c>
      <c r="V33" s="77">
        <v>120</v>
      </c>
      <c r="W33" s="74">
        <v>30950</v>
      </c>
      <c r="X33" s="74"/>
      <c r="Y33" s="71">
        <f t="shared" si="18"/>
        <v>31070</v>
      </c>
      <c r="Z33" s="71"/>
      <c r="AA33" s="20">
        <v>31070</v>
      </c>
      <c r="AB33" s="21">
        <f t="shared" si="12"/>
        <v>0.99980049040745</v>
      </c>
      <c r="AC33" s="3"/>
      <c r="AD33" s="3"/>
    </row>
    <row r="34" spans="1:30" x14ac:dyDescent="0.25">
      <c r="A34" s="1"/>
      <c r="B34" s="22" t="s">
        <v>62</v>
      </c>
      <c r="C34" s="78" t="s">
        <v>63</v>
      </c>
      <c r="D34" s="76" t="s">
        <v>132</v>
      </c>
      <c r="E34" s="74">
        <v>175.7</v>
      </c>
      <c r="F34" s="74"/>
      <c r="G34" s="71">
        <v>175.7</v>
      </c>
      <c r="H34" s="71"/>
      <c r="I34" s="20">
        <f t="shared" si="13"/>
        <v>175.7</v>
      </c>
      <c r="J34" s="77"/>
      <c r="K34" s="74">
        <v>300</v>
      </c>
      <c r="L34" s="74"/>
      <c r="M34" s="71">
        <f>SUM(J34:L34)</f>
        <v>300</v>
      </c>
      <c r="N34" s="71"/>
      <c r="O34" s="20">
        <f t="shared" si="15"/>
        <v>300</v>
      </c>
      <c r="P34" s="77" t="s">
        <v>132</v>
      </c>
      <c r="Q34" s="74">
        <v>228.8</v>
      </c>
      <c r="R34" s="74"/>
      <c r="S34" s="71">
        <f t="shared" si="16"/>
        <v>228.8</v>
      </c>
      <c r="T34" s="71"/>
      <c r="U34" s="20">
        <f t="shared" si="17"/>
        <v>228.8</v>
      </c>
      <c r="V34" s="77" t="s">
        <v>132</v>
      </c>
      <c r="W34" s="74">
        <v>50</v>
      </c>
      <c r="X34" s="74"/>
      <c r="Y34" s="71">
        <f t="shared" si="18"/>
        <v>50</v>
      </c>
      <c r="Z34" s="71"/>
      <c r="AA34" s="20">
        <f t="shared" si="19"/>
        <v>50</v>
      </c>
      <c r="AB34" s="21">
        <f t="shared" si="12"/>
        <v>0.16666666666666666</v>
      </c>
      <c r="AC34" s="3"/>
      <c r="AD34" s="3"/>
    </row>
    <row r="35" spans="1:30" x14ac:dyDescent="0.25">
      <c r="A35" s="1"/>
      <c r="B35" s="22" t="s">
        <v>64</v>
      </c>
      <c r="C35" s="41" t="s">
        <v>65</v>
      </c>
      <c r="D35" s="76">
        <v>81.5</v>
      </c>
      <c r="E35" s="74">
        <v>10869.8</v>
      </c>
      <c r="F35" s="74">
        <v>214.6</v>
      </c>
      <c r="G35" s="71">
        <f>SUM(D35+E35+F35)</f>
        <v>11165.9</v>
      </c>
      <c r="H35" s="71"/>
      <c r="I35" s="20">
        <f t="shared" si="13"/>
        <v>11165.9</v>
      </c>
      <c r="J35" s="77">
        <v>44.9</v>
      </c>
      <c r="K35" s="74">
        <v>11185</v>
      </c>
      <c r="L35" s="74">
        <v>40.5</v>
      </c>
      <c r="M35" s="71">
        <f t="shared" si="14"/>
        <v>11270.4</v>
      </c>
      <c r="N35" s="71"/>
      <c r="O35" s="20">
        <f t="shared" si="15"/>
        <v>11270.4</v>
      </c>
      <c r="P35" s="77"/>
      <c r="Q35" s="74">
        <v>4929.3999999999996</v>
      </c>
      <c r="R35" s="74">
        <v>5.4</v>
      </c>
      <c r="S35" s="71">
        <f t="shared" si="16"/>
        <v>4934.7999999999993</v>
      </c>
      <c r="T35" s="71"/>
      <c r="U35" s="20">
        <f t="shared" si="17"/>
        <v>4934.7999999999993</v>
      </c>
      <c r="V35" s="77">
        <v>68</v>
      </c>
      <c r="W35" s="74">
        <v>11080</v>
      </c>
      <c r="X35" s="74"/>
      <c r="Y35" s="71">
        <f t="shared" si="18"/>
        <v>11148</v>
      </c>
      <c r="Z35" s="71"/>
      <c r="AA35" s="20">
        <v>11148</v>
      </c>
      <c r="AB35" s="21">
        <f t="shared" si="12"/>
        <v>0.98913969335604768</v>
      </c>
      <c r="AC35" s="3"/>
      <c r="AD35" s="3"/>
    </row>
    <row r="36" spans="1:30" x14ac:dyDescent="0.25">
      <c r="A36" s="1"/>
      <c r="B36" s="22" t="s">
        <v>66</v>
      </c>
      <c r="C36" s="41" t="s">
        <v>67</v>
      </c>
      <c r="D36" s="74">
        <v>0</v>
      </c>
      <c r="E36" s="74"/>
      <c r="F36" s="74"/>
      <c r="G36" s="71">
        <v>0</v>
      </c>
      <c r="H36" s="71"/>
      <c r="I36" s="20">
        <f t="shared" si="13"/>
        <v>0</v>
      </c>
      <c r="J36" s="75"/>
      <c r="K36" s="74"/>
      <c r="L36" s="74">
        <v>13</v>
      </c>
      <c r="M36" s="71">
        <f t="shared" si="14"/>
        <v>13</v>
      </c>
      <c r="N36" s="71"/>
      <c r="O36" s="20">
        <f t="shared" si="15"/>
        <v>13</v>
      </c>
      <c r="P36" s="75"/>
      <c r="Q36" s="74"/>
      <c r="R36" s="74">
        <v>6.5</v>
      </c>
      <c r="S36" s="71">
        <f t="shared" si="16"/>
        <v>6.5</v>
      </c>
      <c r="T36" s="71"/>
      <c r="U36" s="20">
        <f t="shared" si="17"/>
        <v>6.5</v>
      </c>
      <c r="V36" s="75">
        <v>13</v>
      </c>
      <c r="W36" s="74"/>
      <c r="X36" s="74"/>
      <c r="Y36" s="71">
        <f t="shared" si="18"/>
        <v>13</v>
      </c>
      <c r="Z36" s="71"/>
      <c r="AA36" s="20">
        <f t="shared" si="19"/>
        <v>13</v>
      </c>
      <c r="AB36" s="21">
        <f t="shared" si="12"/>
        <v>1</v>
      </c>
      <c r="AC36" s="3"/>
      <c r="AD36" s="3"/>
    </row>
    <row r="37" spans="1:30" x14ac:dyDescent="0.25">
      <c r="A37" s="1"/>
      <c r="B37" s="22" t="s">
        <v>68</v>
      </c>
      <c r="C37" s="41" t="s">
        <v>69</v>
      </c>
      <c r="D37" s="74">
        <v>639.70000000000005</v>
      </c>
      <c r="E37" s="74"/>
      <c r="F37" s="74">
        <v>977</v>
      </c>
      <c r="G37" s="71">
        <f>SUM(D37+F37)</f>
        <v>1616.7</v>
      </c>
      <c r="H37" s="71"/>
      <c r="I37" s="20">
        <f t="shared" si="13"/>
        <v>1616.7</v>
      </c>
      <c r="J37" s="75">
        <v>633</v>
      </c>
      <c r="K37" s="74"/>
      <c r="L37" s="74">
        <v>977</v>
      </c>
      <c r="M37" s="71">
        <f t="shared" si="14"/>
        <v>1610</v>
      </c>
      <c r="N37" s="71"/>
      <c r="O37" s="20">
        <f t="shared" si="15"/>
        <v>1610</v>
      </c>
      <c r="P37" s="75">
        <v>316.5</v>
      </c>
      <c r="Q37" s="74"/>
      <c r="R37" s="74">
        <v>488.5</v>
      </c>
      <c r="S37" s="71">
        <f t="shared" si="16"/>
        <v>805</v>
      </c>
      <c r="T37" s="71"/>
      <c r="U37" s="20">
        <f t="shared" si="17"/>
        <v>805</v>
      </c>
      <c r="V37" s="75">
        <v>689</v>
      </c>
      <c r="W37" s="74"/>
      <c r="X37" s="74">
        <v>977</v>
      </c>
      <c r="Y37" s="71">
        <f t="shared" si="18"/>
        <v>1666</v>
      </c>
      <c r="Z37" s="71"/>
      <c r="AA37" s="20">
        <f t="shared" si="19"/>
        <v>1666</v>
      </c>
      <c r="AB37" s="21">
        <f t="shared" si="12"/>
        <v>1.0347826086956522</v>
      </c>
      <c r="AC37" s="3"/>
      <c r="AD37" s="3"/>
    </row>
    <row r="38" spans="1:30" ht="15.75" thickBot="1" x14ac:dyDescent="0.3">
      <c r="A38" s="1"/>
      <c r="B38" s="79" t="s">
        <v>70</v>
      </c>
      <c r="C38" s="80" t="s">
        <v>71</v>
      </c>
      <c r="D38" s="81">
        <v>674.1</v>
      </c>
      <c r="E38" s="81">
        <v>851.4</v>
      </c>
      <c r="F38" s="81">
        <v>19</v>
      </c>
      <c r="G38" s="71">
        <f>SUM(D38+E38+F38)</f>
        <v>1544.5</v>
      </c>
      <c r="H38" s="82"/>
      <c r="I38" s="50">
        <f t="shared" si="13"/>
        <v>1544.5</v>
      </c>
      <c r="J38" s="83">
        <v>269.60000000000002</v>
      </c>
      <c r="K38" s="81">
        <v>1002.1</v>
      </c>
      <c r="L38" s="81">
        <v>300</v>
      </c>
      <c r="M38" s="82">
        <f t="shared" si="14"/>
        <v>1571.7</v>
      </c>
      <c r="N38" s="82"/>
      <c r="O38" s="50">
        <f t="shared" si="15"/>
        <v>1571.7</v>
      </c>
      <c r="P38" s="83">
        <v>21.6</v>
      </c>
      <c r="Q38" s="81">
        <v>389.9</v>
      </c>
      <c r="R38" s="81">
        <v>106.6</v>
      </c>
      <c r="S38" s="82">
        <v>518.1</v>
      </c>
      <c r="T38" s="82"/>
      <c r="U38" s="50">
        <f t="shared" si="17"/>
        <v>518.1</v>
      </c>
      <c r="V38" s="83">
        <v>1085.0999999999999</v>
      </c>
      <c r="W38" s="81">
        <v>310</v>
      </c>
      <c r="X38" s="81">
        <v>250</v>
      </c>
      <c r="Y38" s="82">
        <f t="shared" si="18"/>
        <v>1645.1</v>
      </c>
      <c r="Z38" s="82"/>
      <c r="AA38" s="50">
        <f t="shared" si="19"/>
        <v>1645.1</v>
      </c>
      <c r="AB38" s="51">
        <f t="shared" si="12"/>
        <v>1.046701024368518</v>
      </c>
      <c r="AC38" s="3"/>
      <c r="AD38" s="3"/>
    </row>
    <row r="39" spans="1:30" ht="15.75" thickBot="1" x14ac:dyDescent="0.3">
      <c r="A39" s="1"/>
      <c r="B39" s="52" t="s">
        <v>72</v>
      </c>
      <c r="C39" s="84" t="s">
        <v>73</v>
      </c>
      <c r="D39" s="85">
        <f>SUM(D35:D38)+SUM(D28:D32)</f>
        <v>6554.5</v>
      </c>
      <c r="E39" s="85">
        <f>SUM(E35:E38)+SUM(E28:E32)</f>
        <v>42705.7</v>
      </c>
      <c r="F39" s="85">
        <f>SUM(F35:F38)+SUM(F28:F32)</f>
        <v>2853.9</v>
      </c>
      <c r="G39" s="86">
        <f>SUM(D39:F39)</f>
        <v>52114.1</v>
      </c>
      <c r="H39" s="87">
        <f>SUM(H28:H32)+SUM(H35:H38)</f>
        <v>40.199999999999996</v>
      </c>
      <c r="I39" s="88">
        <f>SUM(I35:I38)+SUM(I28:I32)</f>
        <v>52154.299999999996</v>
      </c>
      <c r="J39" s="85">
        <f>SUM(J35:J38)+SUM(J28:J32)</f>
        <v>7375.8</v>
      </c>
      <c r="K39" s="85">
        <f>SUM(K35:K38)+SUM(K28:K32)</f>
        <v>43630.3</v>
      </c>
      <c r="L39" s="85">
        <f>SUM(L35:L38)+SUM(L28:L32)</f>
        <v>3470.5</v>
      </c>
      <c r="M39" s="86">
        <f>SUM(J39:L39)</f>
        <v>54476.600000000006</v>
      </c>
      <c r="N39" s="87">
        <f>SUM(N28:N32)+SUM(N35:N38)</f>
        <v>60</v>
      </c>
      <c r="O39" s="88">
        <f>SUM(O35:O38)+SUM(O28:O32)</f>
        <v>54536.6</v>
      </c>
      <c r="P39" s="85">
        <f>SUM(P35:P38)+SUM(P28:P32)</f>
        <v>3002.9</v>
      </c>
      <c r="Q39" s="85">
        <f>SUM(Q35:Q38)+SUM(Q28:Q32)</f>
        <v>20348.3</v>
      </c>
      <c r="R39" s="85">
        <f>SUM(R35:R38)+SUM(R28:R32)</f>
        <v>2015.8</v>
      </c>
      <c r="S39" s="86">
        <f>SUM(P39:R39)</f>
        <v>25367</v>
      </c>
      <c r="T39" s="87">
        <f>SUM(T28:T32)+SUM(T35:T38)</f>
        <v>3.4</v>
      </c>
      <c r="U39" s="88">
        <f>SUM(U35:U38)+SUM(U28:U32)</f>
        <v>25370.400000000001</v>
      </c>
      <c r="V39" s="85">
        <f>SUM(V35:V38)+SUM(V28:V32)</f>
        <v>8486.1</v>
      </c>
      <c r="W39" s="85">
        <f>SUM(W35:W38)+SUM(W28:W32)</f>
        <v>42690</v>
      </c>
      <c r="X39" s="85">
        <f>SUM(X35:X38)+SUM(X28:X32)</f>
        <v>3297</v>
      </c>
      <c r="Y39" s="86">
        <f>SUM(V39:X39)</f>
        <v>54473.1</v>
      </c>
      <c r="Z39" s="87">
        <f>SUM(Z28:Z32)+SUM(Z35:Z38)</f>
        <v>215</v>
      </c>
      <c r="AA39" s="88">
        <f>SUM(AA35:AA38)+SUM(AA28:AA32)</f>
        <v>54688.1</v>
      </c>
      <c r="AB39" s="89">
        <f t="shared" si="12"/>
        <v>1.0027779509540382</v>
      </c>
      <c r="AC39" s="3"/>
      <c r="AD39" s="3"/>
    </row>
    <row r="40" spans="1:30" ht="19.5" thickBot="1" x14ac:dyDescent="0.35">
      <c r="A40" s="1"/>
      <c r="B40" s="90" t="s">
        <v>74</v>
      </c>
      <c r="C40" s="91" t="s">
        <v>75</v>
      </c>
      <c r="D40" s="92">
        <f t="shared" ref="D40:AA40" si="20">D24-D39</f>
        <v>-200.19999999999982</v>
      </c>
      <c r="E40" s="92">
        <f t="shared" si="20"/>
        <v>0</v>
      </c>
      <c r="F40" s="92">
        <f t="shared" si="20"/>
        <v>746.40000000000009</v>
      </c>
      <c r="G40" s="93">
        <f t="shared" si="20"/>
        <v>546.20000000000437</v>
      </c>
      <c r="H40" s="93">
        <f t="shared" si="20"/>
        <v>127.60000000000002</v>
      </c>
      <c r="I40" s="94">
        <f t="shared" si="20"/>
        <v>506</v>
      </c>
      <c r="J40" s="92">
        <f t="shared" si="20"/>
        <v>958.40000000000055</v>
      </c>
      <c r="K40" s="92">
        <f t="shared" si="20"/>
        <v>-1116.9000000000015</v>
      </c>
      <c r="L40" s="92">
        <f t="shared" si="20"/>
        <v>8.5</v>
      </c>
      <c r="M40" s="93">
        <f t="shared" si="20"/>
        <v>-150</v>
      </c>
      <c r="N40" s="93">
        <f t="shared" si="20"/>
        <v>150</v>
      </c>
      <c r="O40" s="94">
        <f t="shared" si="20"/>
        <v>0</v>
      </c>
      <c r="P40" s="92">
        <f t="shared" si="20"/>
        <v>416</v>
      </c>
      <c r="Q40" s="92">
        <f t="shared" si="20"/>
        <v>18.799999999999272</v>
      </c>
      <c r="R40" s="92">
        <f t="shared" si="20"/>
        <v>47.400000000000318</v>
      </c>
      <c r="S40" s="93">
        <f t="shared" si="20"/>
        <v>482.20000000000073</v>
      </c>
      <c r="T40" s="93">
        <f t="shared" si="20"/>
        <v>152.6</v>
      </c>
      <c r="U40" s="94">
        <f t="shared" si="20"/>
        <v>634.79999999999563</v>
      </c>
      <c r="V40" s="92">
        <f t="shared" si="20"/>
        <v>0</v>
      </c>
      <c r="W40" s="92">
        <f t="shared" si="20"/>
        <v>0</v>
      </c>
      <c r="X40" s="92">
        <f t="shared" si="20"/>
        <v>0</v>
      </c>
      <c r="Y40" s="93">
        <f t="shared" si="20"/>
        <v>0</v>
      </c>
      <c r="Z40" s="93">
        <f t="shared" si="20"/>
        <v>0</v>
      </c>
      <c r="AA40" s="94">
        <f t="shared" si="20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76</v>
      </c>
      <c r="C41" s="97" t="s">
        <v>77</v>
      </c>
      <c r="D41" s="98"/>
      <c r="E41" s="99"/>
      <c r="F41" s="99"/>
      <c r="G41" s="100"/>
      <c r="H41" s="101"/>
      <c r="I41" s="102">
        <f>I40-D16</f>
        <v>-5378.5</v>
      </c>
      <c r="J41" s="98"/>
      <c r="K41" s="99"/>
      <c r="L41" s="99"/>
      <c r="M41" s="100"/>
      <c r="N41" s="103"/>
      <c r="O41" s="102">
        <f>O40-J16</f>
        <v>-6199.1</v>
      </c>
      <c r="P41" s="98"/>
      <c r="Q41" s="99"/>
      <c r="R41" s="99"/>
      <c r="S41" s="100"/>
      <c r="T41" s="103"/>
      <c r="U41" s="102">
        <f>U40-P16</f>
        <v>-2720.1000000000045</v>
      </c>
      <c r="V41" s="98"/>
      <c r="W41" s="99"/>
      <c r="X41" s="99"/>
      <c r="Y41" s="100"/>
      <c r="Z41" s="103"/>
      <c r="AA41" s="102">
        <f>AA40-V16</f>
        <v>-8200</v>
      </c>
      <c r="AB41" s="21">
        <f t="shared" si="12"/>
        <v>1.3227726605474988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928" t="s">
        <v>78</v>
      </c>
      <c r="D43" s="112" t="s">
        <v>79</v>
      </c>
      <c r="E43" s="113" t="s">
        <v>80</v>
      </c>
      <c r="F43" s="114" t="s">
        <v>81</v>
      </c>
      <c r="G43" s="108"/>
      <c r="H43" s="108"/>
      <c r="I43" s="115"/>
      <c r="J43" s="112" t="s">
        <v>79</v>
      </c>
      <c r="K43" s="113" t="s">
        <v>80</v>
      </c>
      <c r="L43" s="114" t="s">
        <v>81</v>
      </c>
      <c r="M43" s="108"/>
      <c r="N43" s="108"/>
      <c r="O43" s="108"/>
      <c r="P43" s="112" t="s">
        <v>79</v>
      </c>
      <c r="Q43" s="113" t="s">
        <v>80</v>
      </c>
      <c r="R43" s="114" t="s">
        <v>81</v>
      </c>
      <c r="S43" s="109"/>
      <c r="T43" s="109"/>
      <c r="U43" s="109"/>
      <c r="V43" s="112" t="s">
        <v>79</v>
      </c>
      <c r="W43" s="113" t="s">
        <v>80</v>
      </c>
      <c r="X43" s="114" t="s">
        <v>81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929"/>
      <c r="D44" s="116">
        <v>478.5</v>
      </c>
      <c r="E44" s="117">
        <v>478.5</v>
      </c>
      <c r="F44" s="118">
        <v>0</v>
      </c>
      <c r="G44" s="108"/>
      <c r="H44" s="108"/>
      <c r="I44" s="115"/>
      <c r="J44" s="116">
        <v>476.7</v>
      </c>
      <c r="K44" s="117">
        <v>476.7</v>
      </c>
      <c r="L44" s="118">
        <v>0</v>
      </c>
      <c r="M44" s="119"/>
      <c r="N44" s="119"/>
      <c r="O44" s="119"/>
      <c r="P44" s="116">
        <v>238.3</v>
      </c>
      <c r="Q44" s="117">
        <v>238.3</v>
      </c>
      <c r="R44" s="118">
        <v>0</v>
      </c>
      <c r="S44" s="3"/>
      <c r="T44" s="3"/>
      <c r="U44" s="3"/>
      <c r="V44" s="116">
        <v>476.7</v>
      </c>
      <c r="W44" s="117">
        <v>476.7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928" t="s">
        <v>82</v>
      </c>
      <c r="D46" s="120" t="s">
        <v>83</v>
      </c>
      <c r="E46" s="121" t="s">
        <v>84</v>
      </c>
      <c r="F46" s="108"/>
      <c r="G46" s="108"/>
      <c r="H46" s="108"/>
      <c r="I46" s="115"/>
      <c r="J46" s="120" t="s">
        <v>83</v>
      </c>
      <c r="K46" s="121" t="s">
        <v>84</v>
      </c>
      <c r="L46" s="122"/>
      <c r="M46" s="122"/>
      <c r="N46" s="109"/>
      <c r="O46" s="109"/>
      <c r="P46" s="120" t="s">
        <v>83</v>
      </c>
      <c r="Q46" s="121" t="s">
        <v>84</v>
      </c>
      <c r="R46" s="109"/>
      <c r="S46" s="109"/>
      <c r="T46" s="109"/>
      <c r="U46" s="109"/>
      <c r="V46" s="120" t="s">
        <v>83</v>
      </c>
      <c r="W46" s="121" t="s">
        <v>84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930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85</v>
      </c>
      <c r="D49" s="127" t="s">
        <v>86</v>
      </c>
      <c r="E49" s="127" t="s">
        <v>87</v>
      </c>
      <c r="F49" s="127" t="s">
        <v>88</v>
      </c>
      <c r="G49" s="127" t="s">
        <v>89</v>
      </c>
      <c r="H49" s="108"/>
      <c r="I49" s="3"/>
      <c r="J49" s="127" t="s">
        <v>86</v>
      </c>
      <c r="K49" s="127" t="s">
        <v>87</v>
      </c>
      <c r="L49" s="127" t="s">
        <v>88</v>
      </c>
      <c r="M49" s="127" t="s">
        <v>90</v>
      </c>
      <c r="N49" s="3"/>
      <c r="O49" s="3"/>
      <c r="P49" s="127" t="s">
        <v>86</v>
      </c>
      <c r="Q49" s="127" t="s">
        <v>87</v>
      </c>
      <c r="R49" s="127" t="s">
        <v>88</v>
      </c>
      <c r="S49" s="127" t="s">
        <v>90</v>
      </c>
      <c r="T49" s="3"/>
      <c r="U49" s="3"/>
      <c r="V49" s="127" t="s">
        <v>92</v>
      </c>
      <c r="W49" s="127" t="s">
        <v>87</v>
      </c>
      <c r="X49" s="127" t="s">
        <v>88</v>
      </c>
      <c r="Y49" s="127" t="s">
        <v>90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/>
      <c r="E50" s="129"/>
      <c r="F50" s="129"/>
      <c r="G50" s="130">
        <f>D50+E50-F50</f>
        <v>0</v>
      </c>
      <c r="H50" s="108"/>
      <c r="I50" s="3"/>
      <c r="J50" s="129"/>
      <c r="K50" s="129"/>
      <c r="L50" s="129"/>
      <c r="M50" s="130">
        <f>J50+K50-L50</f>
        <v>0</v>
      </c>
      <c r="N50" s="3"/>
      <c r="O50" s="3"/>
      <c r="P50" s="129"/>
      <c r="Q50" s="129"/>
      <c r="R50" s="129"/>
      <c r="S50" s="130">
        <f>P50+Q50-R50</f>
        <v>0</v>
      </c>
      <c r="T50" s="3"/>
      <c r="U50" s="3"/>
      <c r="V50" s="129"/>
      <c r="W50" s="129"/>
      <c r="X50" s="129"/>
      <c r="Y50" s="13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819</v>
      </c>
      <c r="E51" s="129">
        <v>391.7</v>
      </c>
      <c r="F51" s="129">
        <v>452.3</v>
      </c>
      <c r="G51" s="130">
        <v>758.4</v>
      </c>
      <c r="H51" s="108"/>
      <c r="I51" s="3"/>
      <c r="J51" s="129">
        <v>758.3</v>
      </c>
      <c r="K51" s="129">
        <v>404.8</v>
      </c>
      <c r="L51" s="129">
        <v>300</v>
      </c>
      <c r="M51" s="130">
        <v>500</v>
      </c>
      <c r="N51" s="3"/>
      <c r="O51" s="3"/>
      <c r="P51" s="129">
        <v>758.3</v>
      </c>
      <c r="Q51" s="129">
        <v>404.8</v>
      </c>
      <c r="R51" s="129">
        <v>300</v>
      </c>
      <c r="S51" s="130">
        <v>500</v>
      </c>
      <c r="T51" s="3"/>
      <c r="U51" s="3"/>
      <c r="V51" s="129">
        <v>500</v>
      </c>
      <c r="W51" s="129">
        <v>200</v>
      </c>
      <c r="X51" s="129">
        <v>250</v>
      </c>
      <c r="Y51" s="130">
        <v>450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453.2</v>
      </c>
      <c r="E52" s="129">
        <v>639.6</v>
      </c>
      <c r="F52" s="129">
        <v>873.1</v>
      </c>
      <c r="G52" s="130">
        <v>219.7</v>
      </c>
      <c r="H52" s="108"/>
      <c r="I52" s="3"/>
      <c r="J52" s="129">
        <v>219.7</v>
      </c>
      <c r="K52" s="129">
        <v>925.8</v>
      </c>
      <c r="L52" s="129">
        <v>951.7</v>
      </c>
      <c r="M52" s="130">
        <v>193.8</v>
      </c>
      <c r="N52" s="3"/>
      <c r="O52" s="3"/>
      <c r="P52" s="129">
        <v>219.7</v>
      </c>
      <c r="Q52" s="129">
        <v>616.5</v>
      </c>
      <c r="R52" s="129">
        <v>329.3</v>
      </c>
      <c r="S52" s="130">
        <v>193.8</v>
      </c>
      <c r="T52" s="3"/>
      <c r="U52" s="3"/>
      <c r="V52" s="129">
        <v>193.8</v>
      </c>
      <c r="W52" s="129">
        <v>633</v>
      </c>
      <c r="X52" s="129">
        <v>486.8</v>
      </c>
      <c r="Y52" s="130">
        <v>340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224.6</v>
      </c>
      <c r="E53" s="129">
        <v>97.9</v>
      </c>
      <c r="F53" s="129">
        <v>2.9</v>
      </c>
      <c r="G53" s="130">
        <v>319.60000000000002</v>
      </c>
      <c r="H53" s="108"/>
      <c r="I53" s="3"/>
      <c r="J53" s="129">
        <v>319.60000000000002</v>
      </c>
      <c r="K53" s="129">
        <v>101.2</v>
      </c>
      <c r="L53" s="129">
        <v>20</v>
      </c>
      <c r="M53" s="130">
        <v>400.8</v>
      </c>
      <c r="N53" s="3"/>
      <c r="O53" s="3"/>
      <c r="P53" s="129">
        <v>319.60000000000002</v>
      </c>
      <c r="Q53" s="129">
        <v>101.2</v>
      </c>
      <c r="R53" s="129">
        <v>0</v>
      </c>
      <c r="S53" s="130">
        <v>400.8</v>
      </c>
      <c r="T53" s="3"/>
      <c r="U53" s="3"/>
      <c r="V53" s="129">
        <v>400.8</v>
      </c>
      <c r="W53" s="129">
        <v>40</v>
      </c>
      <c r="X53" s="129">
        <v>20</v>
      </c>
      <c r="Y53" s="130">
        <v>420.8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3" t="s">
        <v>97</v>
      </c>
      <c r="D54" s="129">
        <v>277.8</v>
      </c>
      <c r="E54" s="129">
        <v>614.5</v>
      </c>
      <c r="F54" s="129">
        <v>458.7</v>
      </c>
      <c r="G54" s="130">
        <v>433.6</v>
      </c>
      <c r="H54" s="108"/>
      <c r="I54" s="3"/>
      <c r="J54" s="129">
        <v>433.6</v>
      </c>
      <c r="K54" s="129">
        <v>550</v>
      </c>
      <c r="L54" s="129">
        <v>860</v>
      </c>
      <c r="M54" s="130">
        <v>123.6</v>
      </c>
      <c r="N54" s="3"/>
      <c r="O54" s="3"/>
      <c r="P54" s="129">
        <v>433.6</v>
      </c>
      <c r="Q54" s="129">
        <v>295.3</v>
      </c>
      <c r="R54" s="129">
        <v>355.9</v>
      </c>
      <c r="S54" s="130">
        <v>123.6</v>
      </c>
      <c r="T54" s="3"/>
      <c r="U54" s="3"/>
      <c r="V54" s="129">
        <v>123.6</v>
      </c>
      <c r="W54" s="129">
        <v>580</v>
      </c>
      <c r="X54" s="129">
        <v>560</v>
      </c>
      <c r="Y54" s="130">
        <v>143.6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4">
        <v>60.8</v>
      </c>
      <c r="E57" s="134">
        <v>61</v>
      </c>
      <c r="F57" s="108"/>
      <c r="G57" s="108"/>
      <c r="H57" s="108"/>
      <c r="I57" s="115"/>
      <c r="J57" s="134">
        <v>60</v>
      </c>
      <c r="K57" s="108"/>
      <c r="L57" s="108"/>
      <c r="M57" s="108"/>
      <c r="N57" s="108"/>
      <c r="O57" s="115"/>
      <c r="P57" s="134">
        <v>65</v>
      </c>
      <c r="Q57" s="115"/>
      <c r="R57" s="115"/>
      <c r="S57" s="115"/>
      <c r="T57" s="115"/>
      <c r="U57" s="115"/>
      <c r="V57" s="134">
        <v>60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5" t="s">
        <v>103</v>
      </c>
      <c r="C59" s="136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  <c r="O59" s="931"/>
      <c r="P59" s="931"/>
      <c r="Q59" s="931"/>
      <c r="R59" s="931"/>
      <c r="S59" s="931"/>
      <c r="T59" s="931"/>
      <c r="U59" s="931"/>
      <c r="V59" s="137"/>
      <c r="W59" s="137"/>
      <c r="X59" s="137"/>
      <c r="Y59" s="137"/>
      <c r="Z59" s="137"/>
      <c r="AA59" s="137"/>
      <c r="AB59" s="138"/>
      <c r="AC59" s="3"/>
      <c r="AD59" s="3"/>
    </row>
    <row r="60" spans="1:30" x14ac:dyDescent="0.25">
      <c r="A60" s="1"/>
      <c r="B60" s="13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0"/>
      <c r="AC60" s="3"/>
      <c r="AD60" s="3"/>
    </row>
    <row r="61" spans="1:30" x14ac:dyDescent="0.25">
      <c r="A61" s="1"/>
      <c r="B61" s="925" t="s">
        <v>214</v>
      </c>
      <c r="C61" s="921"/>
      <c r="D61" s="921"/>
      <c r="E61" s="921"/>
      <c r="F61" s="921"/>
      <c r="G61" s="921"/>
      <c r="H61" s="921"/>
      <c r="I61" s="921"/>
      <c r="J61" s="921"/>
      <c r="K61" s="921"/>
      <c r="L61" s="921"/>
      <c r="M61" s="921"/>
      <c r="N61" s="921"/>
      <c r="O61" s="921"/>
      <c r="P61" s="921"/>
      <c r="Q61" s="921"/>
      <c r="R61" s="921"/>
      <c r="S61" s="921"/>
      <c r="T61" s="921"/>
      <c r="U61" s="921"/>
      <c r="V61" s="110"/>
      <c r="W61" s="110"/>
      <c r="X61" s="110"/>
      <c r="Y61" s="110"/>
      <c r="Z61" s="110"/>
      <c r="AA61" s="110"/>
      <c r="AB61" s="140"/>
      <c r="AC61" s="3"/>
      <c r="AD61" s="3"/>
    </row>
    <row r="62" spans="1:30" x14ac:dyDescent="0.25">
      <c r="A62" s="1"/>
      <c r="B62" s="925"/>
      <c r="C62" s="921"/>
      <c r="D62" s="921"/>
      <c r="E62" s="921"/>
      <c r="F62" s="921"/>
      <c r="G62" s="921"/>
      <c r="H62" s="921"/>
      <c r="I62" s="921"/>
      <c r="J62" s="921"/>
      <c r="K62" s="921"/>
      <c r="L62" s="921"/>
      <c r="M62" s="921"/>
      <c r="N62" s="921"/>
      <c r="O62" s="921"/>
      <c r="P62" s="921"/>
      <c r="Q62" s="921"/>
      <c r="R62" s="921"/>
      <c r="S62" s="921"/>
      <c r="T62" s="921"/>
      <c r="U62" s="921"/>
      <c r="V62" s="110"/>
      <c r="W62" s="110"/>
      <c r="X62" s="110"/>
      <c r="Y62" s="110"/>
      <c r="Z62" s="110"/>
      <c r="AA62" s="110"/>
      <c r="AB62" s="140"/>
      <c r="AC62" s="3"/>
      <c r="AD62" s="3"/>
    </row>
    <row r="63" spans="1:30" x14ac:dyDescent="0.25">
      <c r="A63" s="1"/>
      <c r="B63" s="925"/>
      <c r="C63" s="921"/>
      <c r="D63" s="921"/>
      <c r="E63" s="921"/>
      <c r="F63" s="921"/>
      <c r="G63" s="921"/>
      <c r="H63" s="921"/>
      <c r="I63" s="921"/>
      <c r="J63" s="921"/>
      <c r="K63" s="921"/>
      <c r="L63" s="921"/>
      <c r="M63" s="921"/>
      <c r="N63" s="921"/>
      <c r="O63" s="921"/>
      <c r="P63" s="921"/>
      <c r="Q63" s="921"/>
      <c r="R63" s="921"/>
      <c r="S63" s="921"/>
      <c r="T63" s="921"/>
      <c r="U63" s="921"/>
      <c r="V63" s="110"/>
      <c r="W63" s="110"/>
      <c r="X63" s="110"/>
      <c r="Y63" s="110"/>
      <c r="Z63" s="110"/>
      <c r="AA63" s="110"/>
      <c r="AB63" s="140"/>
      <c r="AC63" s="3"/>
      <c r="AD63" s="3"/>
    </row>
    <row r="64" spans="1:30" x14ac:dyDescent="0.25">
      <c r="A64" s="1"/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10"/>
      <c r="W64" s="110"/>
      <c r="X64" s="110"/>
      <c r="Y64" s="110"/>
      <c r="Z64" s="110"/>
      <c r="AA64" s="110"/>
      <c r="AB64" s="140"/>
      <c r="AC64" s="3"/>
      <c r="AD64" s="3"/>
    </row>
    <row r="65" spans="1:30" x14ac:dyDescent="0.25">
      <c r="A65" s="1"/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10"/>
      <c r="W65" s="110"/>
      <c r="X65" s="110"/>
      <c r="Y65" s="110"/>
      <c r="Z65" s="110"/>
      <c r="AA65" s="110"/>
      <c r="AB65" s="140"/>
      <c r="AC65" s="3"/>
      <c r="AD65" s="3"/>
    </row>
    <row r="66" spans="1:30" x14ac:dyDescent="0.25">
      <c r="A66" s="1"/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10"/>
      <c r="W66" s="110"/>
      <c r="X66" s="110"/>
      <c r="Y66" s="110"/>
      <c r="Z66" s="110"/>
      <c r="AA66" s="110"/>
      <c r="AB66" s="140"/>
      <c r="AC66" s="3"/>
      <c r="AD66" s="3"/>
    </row>
    <row r="67" spans="1:30" x14ac:dyDescent="0.25">
      <c r="A67" s="1"/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10"/>
      <c r="W67" s="110"/>
      <c r="X67" s="110"/>
      <c r="Y67" s="110"/>
      <c r="Z67" s="110"/>
      <c r="AA67" s="110"/>
      <c r="AB67" s="140"/>
      <c r="AC67" s="3"/>
      <c r="AD67" s="3"/>
    </row>
    <row r="68" spans="1:30" x14ac:dyDescent="0.25">
      <c r="A68" s="1"/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10"/>
      <c r="W68" s="110"/>
      <c r="X68" s="110"/>
      <c r="Y68" s="110"/>
      <c r="Z68" s="110"/>
      <c r="AA68" s="110"/>
      <c r="AB68" s="140"/>
      <c r="AC68" s="3"/>
      <c r="AD68" s="3"/>
    </row>
    <row r="69" spans="1:30" x14ac:dyDescent="0.25">
      <c r="A69" s="1"/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10"/>
      <c r="W69" s="110"/>
      <c r="X69" s="110"/>
      <c r="Y69" s="110"/>
      <c r="Z69" s="110"/>
      <c r="AA69" s="110"/>
      <c r="AB69" s="140"/>
      <c r="AC69" s="3"/>
      <c r="AD69" s="3"/>
    </row>
    <row r="70" spans="1:30" x14ac:dyDescent="0.25">
      <c r="A70" s="1"/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10"/>
      <c r="W70" s="110"/>
      <c r="X70" s="110"/>
      <c r="Y70" s="110"/>
      <c r="Z70" s="110"/>
      <c r="AA70" s="110"/>
      <c r="AB70" s="140"/>
      <c r="AC70" s="3"/>
      <c r="AD70" s="3"/>
    </row>
    <row r="71" spans="1:30" x14ac:dyDescent="0.25">
      <c r="A71" s="1"/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10"/>
      <c r="W71" s="110"/>
      <c r="X71" s="110"/>
      <c r="Y71" s="110"/>
      <c r="Z71" s="110"/>
      <c r="AA71" s="110"/>
      <c r="AB71" s="140"/>
      <c r="AC71" s="3"/>
      <c r="AD71" s="3"/>
    </row>
    <row r="72" spans="1:30" x14ac:dyDescent="0.25">
      <c r="A72" s="1"/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10"/>
      <c r="W72" s="110"/>
      <c r="X72" s="110"/>
      <c r="Y72" s="110"/>
      <c r="Z72" s="110"/>
      <c r="AA72" s="110"/>
      <c r="AB72" s="140"/>
      <c r="AC72" s="3"/>
      <c r="AD72" s="3"/>
    </row>
    <row r="73" spans="1:30" x14ac:dyDescent="0.25">
      <c r="A73" s="1"/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10"/>
      <c r="W73" s="110"/>
      <c r="X73" s="110"/>
      <c r="Y73" s="110"/>
      <c r="Z73" s="110"/>
      <c r="AA73" s="110"/>
      <c r="AB73" s="140"/>
      <c r="AC73" s="3"/>
      <c r="AD73" s="3"/>
    </row>
    <row r="74" spans="1:30" x14ac:dyDescent="0.25">
      <c r="A74" s="1"/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10"/>
      <c r="W74" s="110"/>
      <c r="X74" s="110"/>
      <c r="Y74" s="110"/>
      <c r="Z74" s="110"/>
      <c r="AA74" s="110"/>
      <c r="AB74" s="140"/>
      <c r="AC74" s="3"/>
      <c r="AD74" s="3"/>
    </row>
    <row r="75" spans="1:30" x14ac:dyDescent="0.25">
      <c r="A75" s="1"/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10"/>
      <c r="W75" s="110"/>
      <c r="X75" s="110"/>
      <c r="Y75" s="110"/>
      <c r="Z75" s="110"/>
      <c r="AA75" s="110"/>
      <c r="AB75" s="140"/>
      <c r="AC75" s="3"/>
      <c r="AD75" s="3"/>
    </row>
    <row r="76" spans="1:30" x14ac:dyDescent="0.25">
      <c r="A76" s="1"/>
      <c r="B76" s="14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10"/>
      <c r="W76" s="110"/>
      <c r="X76" s="110"/>
      <c r="Y76" s="110"/>
      <c r="Z76" s="110"/>
      <c r="AA76" s="110"/>
      <c r="AB76" s="140"/>
      <c r="AC76" s="3"/>
      <c r="AD76" s="3"/>
    </row>
    <row r="77" spans="1:30" x14ac:dyDescent="0.25">
      <c r="A77" s="1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10"/>
      <c r="W77" s="110"/>
      <c r="X77" s="110"/>
      <c r="Y77" s="110"/>
      <c r="Z77" s="110"/>
      <c r="AA77" s="110"/>
      <c r="AB77" s="140"/>
      <c r="AC77" s="3"/>
      <c r="AD77" s="3"/>
    </row>
    <row r="78" spans="1:30" x14ac:dyDescent="0.25">
      <c r="A78" s="1"/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10"/>
      <c r="W78" s="110"/>
      <c r="X78" s="110"/>
      <c r="Y78" s="110"/>
      <c r="Z78" s="110"/>
      <c r="AA78" s="110"/>
      <c r="AB78" s="140"/>
      <c r="AC78" s="3"/>
      <c r="AD78" s="3"/>
    </row>
    <row r="79" spans="1:30" x14ac:dyDescent="0.25">
      <c r="A79" s="1"/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10"/>
      <c r="W79" s="110"/>
      <c r="X79" s="110"/>
      <c r="Y79" s="110"/>
      <c r="Z79" s="110"/>
      <c r="AA79" s="110"/>
      <c r="AB79" s="140"/>
      <c r="AC79" s="3"/>
      <c r="AD79" s="3"/>
    </row>
    <row r="80" spans="1:30" x14ac:dyDescent="0.25">
      <c r="A80" s="1"/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10"/>
      <c r="W80" s="110"/>
      <c r="X80" s="110"/>
      <c r="Y80" s="110"/>
      <c r="Z80" s="110"/>
      <c r="AA80" s="110"/>
      <c r="AB80" s="140"/>
      <c r="AC80" s="3"/>
      <c r="AD80" s="3"/>
    </row>
    <row r="81" spans="1:30" x14ac:dyDescent="0.25">
      <c r="A81" s="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10"/>
      <c r="W81" s="110"/>
      <c r="X81" s="110"/>
      <c r="Y81" s="110"/>
      <c r="Z81" s="110"/>
      <c r="AA81" s="110"/>
      <c r="AB81" s="140"/>
      <c r="AC81" s="3"/>
      <c r="AD81" s="3"/>
    </row>
    <row r="82" spans="1:30" x14ac:dyDescent="0.25">
      <c r="A82" s="1"/>
      <c r="B82" s="925"/>
      <c r="C82" s="921"/>
      <c r="D82" s="921"/>
      <c r="E82" s="921"/>
      <c r="F82" s="921"/>
      <c r="G82" s="921"/>
      <c r="H82" s="921"/>
      <c r="I82" s="921"/>
      <c r="J82" s="921"/>
      <c r="K82" s="921"/>
      <c r="L82" s="921"/>
      <c r="M82" s="921"/>
      <c r="N82" s="921"/>
      <c r="O82" s="921"/>
      <c r="P82" s="921"/>
      <c r="Q82" s="921"/>
      <c r="R82" s="921"/>
      <c r="S82" s="921"/>
      <c r="T82" s="921"/>
      <c r="U82" s="921"/>
      <c r="V82" s="110"/>
      <c r="W82" s="110"/>
      <c r="X82" s="110"/>
      <c r="Y82" s="110"/>
      <c r="Z82" s="110"/>
      <c r="AA82" s="110"/>
      <c r="AB82" s="140"/>
      <c r="AC82" s="3"/>
      <c r="AD82" s="3"/>
    </row>
    <row r="83" spans="1:30" x14ac:dyDescent="0.25">
      <c r="A83" s="1"/>
      <c r="B83" s="143"/>
      <c r="C83" s="162"/>
      <c r="D83" s="162"/>
      <c r="E83" s="16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10"/>
      <c r="W83" s="110"/>
      <c r="X83" s="110"/>
      <c r="Y83" s="110"/>
      <c r="Z83" s="110"/>
      <c r="AA83" s="110"/>
      <c r="AB83" s="140"/>
      <c r="AC83" s="3"/>
      <c r="AD83" s="3"/>
    </row>
    <row r="84" spans="1:30" x14ac:dyDescent="0.25">
      <c r="A84" s="1"/>
      <c r="B84" s="161"/>
      <c r="C84" s="160"/>
      <c r="D84" s="145"/>
      <c r="E84" s="145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10"/>
      <c r="W84" s="110"/>
      <c r="X84" s="110"/>
      <c r="Y84" s="110"/>
      <c r="Z84" s="110"/>
      <c r="AA84" s="110"/>
      <c r="AB84" s="140"/>
      <c r="AC84" s="3"/>
      <c r="AD84" s="3"/>
    </row>
    <row r="85" spans="1:30" x14ac:dyDescent="0.25">
      <c r="A85" s="1"/>
      <c r="B85" s="143"/>
      <c r="C85" s="144"/>
      <c r="D85" s="145"/>
      <c r="E85" s="145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10"/>
      <c r="W85" s="110"/>
      <c r="X85" s="110"/>
      <c r="Y85" s="110"/>
      <c r="Z85" s="110"/>
      <c r="AA85" s="110"/>
      <c r="AB85" s="140"/>
      <c r="AC85" s="3"/>
      <c r="AD85" s="3"/>
    </row>
    <row r="86" spans="1:30" x14ac:dyDescent="0.25">
      <c r="A86" s="1"/>
      <c r="B86" s="143"/>
      <c r="C86" s="144"/>
      <c r="D86" s="145"/>
      <c r="E86" s="145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10"/>
      <c r="W86" s="110"/>
      <c r="X86" s="110"/>
      <c r="Y86" s="110"/>
      <c r="Z86" s="110"/>
      <c r="AA86" s="110"/>
      <c r="AB86" s="140"/>
      <c r="AC86" s="3"/>
      <c r="AD86" s="3"/>
    </row>
    <row r="87" spans="1:30" x14ac:dyDescent="0.25">
      <c r="A87" s="1"/>
      <c r="B87" s="146"/>
      <c r="C87" s="147"/>
      <c r="D87" s="148"/>
      <c r="E87" s="148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50"/>
      <c r="W87" s="150"/>
      <c r="X87" s="150"/>
      <c r="Y87" s="150"/>
      <c r="Z87" s="150"/>
      <c r="AA87" s="150"/>
      <c r="AB87" s="151"/>
      <c r="AC87" s="3"/>
      <c r="AD87" s="3"/>
    </row>
    <row r="88" spans="1:30" x14ac:dyDescent="0.25">
      <c r="A88" s="104"/>
      <c r="B88" s="152"/>
      <c r="C88" s="153"/>
      <c r="D88" s="152"/>
      <c r="E88" s="152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2"/>
      <c r="C89" s="153"/>
      <c r="D89" s="152"/>
      <c r="E89" s="152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5" t="s">
        <v>109</v>
      </c>
      <c r="C91" s="156">
        <v>44854</v>
      </c>
      <c r="D91" s="155" t="s">
        <v>110</v>
      </c>
      <c r="E91" s="921" t="s">
        <v>215</v>
      </c>
      <c r="F91" s="921"/>
      <c r="G91" s="921"/>
      <c r="H91" s="155"/>
      <c r="I91" s="155" t="s">
        <v>112</v>
      </c>
      <c r="J91" s="922" t="s">
        <v>216</v>
      </c>
      <c r="K91" s="922"/>
      <c r="L91" s="922"/>
      <c r="M91" s="922"/>
      <c r="N91" s="155"/>
      <c r="O91" s="155"/>
      <c r="P91" s="155"/>
      <c r="Q91" s="155"/>
      <c r="R91" s="155"/>
      <c r="S91" s="155"/>
      <c r="T91" s="155"/>
      <c r="U91" s="155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5"/>
      <c r="C93" s="155"/>
      <c r="D93" s="155" t="s">
        <v>114</v>
      </c>
      <c r="E93" s="157"/>
      <c r="F93" s="157"/>
      <c r="G93" s="157"/>
      <c r="H93" s="155"/>
      <c r="I93" s="155" t="s">
        <v>114</v>
      </c>
      <c r="J93" s="158"/>
      <c r="K93" s="158"/>
      <c r="L93" s="158"/>
      <c r="M93" s="158"/>
      <c r="N93" s="155"/>
      <c r="O93" s="155"/>
      <c r="P93" s="155"/>
      <c r="Q93" s="155"/>
      <c r="R93" s="155"/>
      <c r="S93" s="155"/>
      <c r="T93" s="155"/>
      <c r="U93" s="155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5"/>
      <c r="C94" s="155"/>
      <c r="D94" s="155"/>
      <c r="E94" s="157"/>
      <c r="F94" s="157"/>
      <c r="G94" s="157"/>
      <c r="H94" s="155"/>
      <c r="I94" s="155"/>
      <c r="J94" s="158"/>
      <c r="K94" s="158"/>
      <c r="L94" s="158"/>
      <c r="M94" s="158"/>
      <c r="N94" s="155"/>
      <c r="O94" s="155"/>
      <c r="P94" s="155"/>
      <c r="Q94" s="155"/>
      <c r="R94" s="155"/>
      <c r="S94" s="155"/>
      <c r="T94" s="155"/>
      <c r="U94" s="155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113" ht="15" hidden="1" customHeight="1" x14ac:dyDescent="0.25"/>
    <row r="127" ht="15" hidden="1" customHeight="1" x14ac:dyDescent="0.25"/>
    <row r="128" ht="15" hidden="1" customHeight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35" priority="3" operator="equal">
      <formula>0</formula>
    </cfRule>
    <cfRule type="containsErrors" dxfId="34" priority="4">
      <formula>ISERROR(AB15)</formula>
    </cfRule>
  </conditionalFormatting>
  <conditionalFormatting sqref="AB28:AB41">
    <cfRule type="cellIs" dxfId="33" priority="1" operator="equal">
      <formula>0</formula>
    </cfRule>
    <cfRule type="containsErrors" dxfId="32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134"/>
  <sheetViews>
    <sheetView showGridLines="0" view="pageBreakPreview" zoomScale="80" zoomScaleNormal="80" zoomScaleSheetLayoutView="80" workbookViewId="0">
      <selection activeCell="F14" sqref="F1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59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217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46789731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27" t="s">
        <v>218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219</v>
      </c>
      <c r="K10" s="883"/>
      <c r="L10" s="883"/>
      <c r="M10" s="883"/>
      <c r="N10" s="883"/>
      <c r="O10" s="884"/>
      <c r="P10" s="882" t="s">
        <v>10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890"/>
      <c r="H14" s="892"/>
      <c r="I14" s="912"/>
      <c r="J14" s="11" t="s">
        <v>20</v>
      </c>
      <c r="K14" s="12" t="s">
        <v>21</v>
      </c>
      <c r="L14" s="12" t="s">
        <v>22</v>
      </c>
      <c r="M14" s="890"/>
      <c r="N14" s="892"/>
      <c r="O14" s="912"/>
      <c r="P14" s="11" t="s">
        <v>20</v>
      </c>
      <c r="Q14" s="12" t="s">
        <v>21</v>
      </c>
      <c r="R14" s="12" t="s">
        <v>22</v>
      </c>
      <c r="S14" s="890"/>
      <c r="T14" s="892"/>
      <c r="U14" s="912"/>
      <c r="V14" s="11" t="s">
        <v>20</v>
      </c>
      <c r="W14" s="12" t="s">
        <v>21</v>
      </c>
      <c r="X14" s="12" t="s">
        <v>22</v>
      </c>
      <c r="Y14" s="890"/>
      <c r="Z14" s="892"/>
      <c r="AA14" s="912"/>
      <c r="AB14" s="902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470"/>
      <c r="E15" s="469"/>
      <c r="F15" s="468">
        <v>1170.2260000000001</v>
      </c>
      <c r="G15" s="18">
        <f>SUM(D15:F15)</f>
        <v>1170.2260000000001</v>
      </c>
      <c r="H15" s="457"/>
      <c r="I15" s="20">
        <f>G15+H15</f>
        <v>1170.2260000000001</v>
      </c>
      <c r="J15" s="470"/>
      <c r="K15" s="469"/>
      <c r="L15" s="468">
        <v>1950</v>
      </c>
      <c r="M15" s="18">
        <f t="shared" ref="M15:M23" si="0">SUM(J15:L15)</f>
        <v>1950</v>
      </c>
      <c r="N15" s="457"/>
      <c r="O15" s="20">
        <f>M15+N15</f>
        <v>1950</v>
      </c>
      <c r="P15" s="470"/>
      <c r="Q15" s="469"/>
      <c r="R15" s="468">
        <v>1016.6</v>
      </c>
      <c r="S15" s="18">
        <f>SUM(P15:R15)</f>
        <v>1016.6</v>
      </c>
      <c r="T15" s="457">
        <v>0</v>
      </c>
      <c r="U15" s="20">
        <f>S15+T15</f>
        <v>1016.6</v>
      </c>
      <c r="V15" s="637"/>
      <c r="W15" s="638"/>
      <c r="X15" s="639">
        <v>2200</v>
      </c>
      <c r="Y15" s="640">
        <f>SUM(V15:X15)</f>
        <v>2200</v>
      </c>
      <c r="Z15" s="641">
        <v>0</v>
      </c>
      <c r="AA15" s="642">
        <f>Y15+Z15</f>
        <v>2200</v>
      </c>
      <c r="AB15" s="643">
        <f>(AA15/O15)</f>
        <v>1.1282051282051282</v>
      </c>
      <c r="AC15" s="644"/>
      <c r="AD15" s="3"/>
    </row>
    <row r="16" spans="1:30" x14ac:dyDescent="0.25">
      <c r="A16" s="1"/>
      <c r="B16" s="22" t="s">
        <v>25</v>
      </c>
      <c r="C16" s="23" t="s">
        <v>26</v>
      </c>
      <c r="D16" s="465">
        <v>5410.9780000000001</v>
      </c>
      <c r="E16" s="455"/>
      <c r="F16" s="455"/>
      <c r="G16" s="26">
        <f t="shared" ref="G16:G23" si="1">SUM(D16:F16)</f>
        <v>5410.9780000000001</v>
      </c>
      <c r="H16" s="464"/>
      <c r="I16" s="20">
        <f t="shared" ref="I16:I23" si="2">G16+H16</f>
        <v>5410.9780000000001</v>
      </c>
      <c r="J16" s="465">
        <v>5668.6</v>
      </c>
      <c r="K16" s="455"/>
      <c r="L16" s="455"/>
      <c r="M16" s="26">
        <f t="shared" si="0"/>
        <v>5668.6</v>
      </c>
      <c r="N16" s="464"/>
      <c r="O16" s="20">
        <f t="shared" ref="O16:O20" si="3">M16+N16</f>
        <v>5668.6</v>
      </c>
      <c r="P16" s="465">
        <v>2648.6</v>
      </c>
      <c r="Q16" s="455"/>
      <c r="R16" s="455"/>
      <c r="S16" s="26">
        <f t="shared" ref="S16:S23" si="4">SUM(P16:R16)</f>
        <v>2648.6</v>
      </c>
      <c r="T16" s="464"/>
      <c r="U16" s="20">
        <f t="shared" ref="U16:U20" si="5">S16+T16</f>
        <v>2648.6</v>
      </c>
      <c r="V16" s="645">
        <v>6620</v>
      </c>
      <c r="W16" s="646"/>
      <c r="X16" s="646"/>
      <c r="Y16" s="647">
        <f t="shared" ref="Y16:Y23" si="6">SUM(V16:X16)</f>
        <v>6620</v>
      </c>
      <c r="Z16" s="641"/>
      <c r="AA16" s="642">
        <f t="shared" ref="AA16:AA20" si="7">Y16+Z16</f>
        <v>6620</v>
      </c>
      <c r="AB16" s="643">
        <f t="shared" ref="AB16:AB24" si="8">(AA16/O16)</f>
        <v>1.1678368556610097</v>
      </c>
      <c r="AC16" s="644"/>
      <c r="AD16" s="3"/>
    </row>
    <row r="17" spans="1:30" x14ac:dyDescent="0.25">
      <c r="A17" s="1"/>
      <c r="B17" s="22" t="s">
        <v>27</v>
      </c>
      <c r="C17" s="28" t="s">
        <v>28</v>
      </c>
      <c r="D17" s="29">
        <v>480.4</v>
      </c>
      <c r="E17" s="459"/>
      <c r="F17" s="459"/>
      <c r="G17" s="26">
        <f t="shared" si="1"/>
        <v>480.4</v>
      </c>
      <c r="H17" s="462"/>
      <c r="I17" s="20">
        <f t="shared" si="2"/>
        <v>480.4</v>
      </c>
      <c r="J17" s="29">
        <v>1845.3</v>
      </c>
      <c r="K17" s="459"/>
      <c r="L17" s="459"/>
      <c r="M17" s="26">
        <f t="shared" si="0"/>
        <v>1845.3</v>
      </c>
      <c r="N17" s="462"/>
      <c r="O17" s="20">
        <f t="shared" si="3"/>
        <v>1845.3</v>
      </c>
      <c r="P17" s="29">
        <v>268.09800000000001</v>
      </c>
      <c r="Q17" s="459"/>
      <c r="R17" s="459"/>
      <c r="S17" s="26">
        <f t="shared" si="4"/>
        <v>268.09800000000001</v>
      </c>
      <c r="T17" s="462"/>
      <c r="U17" s="20">
        <f t="shared" si="5"/>
        <v>268.09800000000001</v>
      </c>
      <c r="V17" s="648">
        <v>269.8</v>
      </c>
      <c r="W17" s="649"/>
      <c r="X17" s="649"/>
      <c r="Y17" s="647">
        <f t="shared" si="6"/>
        <v>269.8</v>
      </c>
      <c r="Z17" s="650"/>
      <c r="AA17" s="642">
        <f t="shared" si="7"/>
        <v>269.8</v>
      </c>
      <c r="AB17" s="643">
        <f t="shared" si="8"/>
        <v>0.14620928846258063</v>
      </c>
      <c r="AC17" s="644"/>
      <c r="AD17" s="3"/>
    </row>
    <row r="18" spans="1:30" x14ac:dyDescent="0.25">
      <c r="A18" s="1"/>
      <c r="B18" s="22" t="s">
        <v>29</v>
      </c>
      <c r="C18" s="32" t="s">
        <v>30</v>
      </c>
      <c r="D18" s="456"/>
      <c r="E18" s="37">
        <v>47944.493999999999</v>
      </c>
      <c r="F18" s="459"/>
      <c r="G18" s="26">
        <f t="shared" si="1"/>
        <v>47944.493999999999</v>
      </c>
      <c r="H18" s="457"/>
      <c r="I18" s="20">
        <f t="shared" si="2"/>
        <v>47944.493999999999</v>
      </c>
      <c r="J18" s="456"/>
      <c r="K18" s="37">
        <v>47994.266000000003</v>
      </c>
      <c r="L18" s="459"/>
      <c r="M18" s="26">
        <f t="shared" si="0"/>
        <v>47994.266000000003</v>
      </c>
      <c r="N18" s="457"/>
      <c r="O18" s="20">
        <f t="shared" si="3"/>
        <v>47994.266000000003</v>
      </c>
      <c r="P18" s="456"/>
      <c r="Q18" s="37">
        <v>21970.866999999998</v>
      </c>
      <c r="R18" s="459"/>
      <c r="S18" s="26">
        <f t="shared" si="4"/>
        <v>21970.866999999998</v>
      </c>
      <c r="T18" s="457"/>
      <c r="U18" s="20">
        <f t="shared" si="5"/>
        <v>21970.866999999998</v>
      </c>
      <c r="V18" s="651"/>
      <c r="W18" s="652">
        <v>44888.675000000003</v>
      </c>
      <c r="X18" s="649"/>
      <c r="Y18" s="647">
        <f t="shared" si="6"/>
        <v>44888.675000000003</v>
      </c>
      <c r="Z18" s="641"/>
      <c r="AA18" s="642">
        <f t="shared" si="7"/>
        <v>44888.675000000003</v>
      </c>
      <c r="AB18" s="643">
        <f t="shared" si="8"/>
        <v>0.93529245764483615</v>
      </c>
      <c r="AC18" s="644"/>
      <c r="AD18" s="3"/>
    </row>
    <row r="19" spans="1:30" x14ac:dyDescent="0.25">
      <c r="A19" s="1"/>
      <c r="B19" s="22" t="s">
        <v>31</v>
      </c>
      <c r="C19" s="35" t="s">
        <v>32</v>
      </c>
      <c r="D19" s="460"/>
      <c r="E19" s="459"/>
      <c r="F19" s="37">
        <v>1446.88</v>
      </c>
      <c r="G19" s="26">
        <f t="shared" si="1"/>
        <v>1446.88</v>
      </c>
      <c r="H19" s="457"/>
      <c r="I19" s="20">
        <f t="shared" si="2"/>
        <v>1446.88</v>
      </c>
      <c r="J19" s="460"/>
      <c r="K19" s="459"/>
      <c r="L19" s="37">
        <v>1446.88</v>
      </c>
      <c r="M19" s="26">
        <f t="shared" si="0"/>
        <v>1446.88</v>
      </c>
      <c r="N19" s="457"/>
      <c r="O19" s="20">
        <f t="shared" si="3"/>
        <v>1446.88</v>
      </c>
      <c r="P19" s="460"/>
      <c r="Q19" s="459"/>
      <c r="R19" s="37">
        <v>723.43600000000004</v>
      </c>
      <c r="S19" s="26">
        <f t="shared" si="4"/>
        <v>723.43600000000004</v>
      </c>
      <c r="T19" s="457"/>
      <c r="U19" s="20">
        <f t="shared" si="5"/>
        <v>723.43600000000004</v>
      </c>
      <c r="V19" s="653"/>
      <c r="W19" s="649"/>
      <c r="X19" s="652">
        <v>1446.88</v>
      </c>
      <c r="Y19" s="647">
        <f t="shared" si="6"/>
        <v>1446.88</v>
      </c>
      <c r="Z19" s="641"/>
      <c r="AA19" s="642">
        <f t="shared" si="7"/>
        <v>1446.88</v>
      </c>
      <c r="AB19" s="643">
        <f t="shared" si="8"/>
        <v>1</v>
      </c>
      <c r="AC19" s="644"/>
      <c r="AD19" s="3"/>
    </row>
    <row r="20" spans="1:30" x14ac:dyDescent="0.25">
      <c r="A20" s="1"/>
      <c r="B20" s="22" t="s">
        <v>33</v>
      </c>
      <c r="C20" s="39" t="s">
        <v>34</v>
      </c>
      <c r="D20" s="456"/>
      <c r="E20" s="455"/>
      <c r="F20" s="454">
        <v>39.520000000000003</v>
      </c>
      <c r="G20" s="26">
        <f t="shared" si="1"/>
        <v>39.520000000000003</v>
      </c>
      <c r="H20" s="457"/>
      <c r="I20" s="20">
        <f t="shared" si="2"/>
        <v>39.520000000000003</v>
      </c>
      <c r="J20" s="456"/>
      <c r="K20" s="455"/>
      <c r="L20" s="454">
        <v>180</v>
      </c>
      <c r="M20" s="26">
        <f t="shared" si="0"/>
        <v>180</v>
      </c>
      <c r="N20" s="457"/>
      <c r="O20" s="20">
        <f t="shared" si="3"/>
        <v>180</v>
      </c>
      <c r="P20" s="456"/>
      <c r="Q20" s="455"/>
      <c r="R20" s="454">
        <v>134.60900000000001</v>
      </c>
      <c r="S20" s="26">
        <f t="shared" si="4"/>
        <v>134.60900000000001</v>
      </c>
      <c r="T20" s="457"/>
      <c r="U20" s="20">
        <f t="shared" si="5"/>
        <v>134.60900000000001</v>
      </c>
      <c r="V20" s="651"/>
      <c r="W20" s="646"/>
      <c r="X20" s="654">
        <v>170</v>
      </c>
      <c r="Y20" s="647">
        <f t="shared" si="6"/>
        <v>170</v>
      </c>
      <c r="Z20" s="641"/>
      <c r="AA20" s="642">
        <f t="shared" si="7"/>
        <v>170</v>
      </c>
      <c r="AB20" s="643">
        <f t="shared" si="8"/>
        <v>0.94444444444444442</v>
      </c>
      <c r="AC20" s="644"/>
      <c r="AD20" s="3"/>
    </row>
    <row r="21" spans="1:30" x14ac:dyDescent="0.25">
      <c r="A21" s="1"/>
      <c r="B21" s="22" t="s">
        <v>35</v>
      </c>
      <c r="C21" s="41" t="s">
        <v>36</v>
      </c>
      <c r="D21" s="456"/>
      <c r="E21" s="455"/>
      <c r="F21" s="454">
        <v>678.92</v>
      </c>
      <c r="G21" s="26">
        <f t="shared" si="1"/>
        <v>678.92</v>
      </c>
      <c r="H21" s="453">
        <v>180.857</v>
      </c>
      <c r="I21" s="20">
        <f>G21+H21</f>
        <v>859.77699999999993</v>
      </c>
      <c r="J21" s="456"/>
      <c r="K21" s="455"/>
      <c r="L21" s="454"/>
      <c r="M21" s="26">
        <f t="shared" si="0"/>
        <v>0</v>
      </c>
      <c r="N21" s="453">
        <v>200</v>
      </c>
      <c r="O21" s="20">
        <f>M21+N21</f>
        <v>200</v>
      </c>
      <c r="P21" s="456"/>
      <c r="Q21" s="455"/>
      <c r="R21" s="454">
        <v>213.446</v>
      </c>
      <c r="S21" s="26">
        <f t="shared" si="4"/>
        <v>213.446</v>
      </c>
      <c r="T21" s="453">
        <v>51.305999999999997</v>
      </c>
      <c r="U21" s="20">
        <f>S21+T21</f>
        <v>264.75200000000001</v>
      </c>
      <c r="V21" s="651"/>
      <c r="W21" s="646"/>
      <c r="X21" s="654"/>
      <c r="Y21" s="647">
        <f t="shared" si="6"/>
        <v>0</v>
      </c>
      <c r="Z21" s="650">
        <v>200</v>
      </c>
      <c r="AA21" s="642">
        <f>Y21+Z21</f>
        <v>200</v>
      </c>
      <c r="AB21" s="643">
        <f t="shared" si="8"/>
        <v>1</v>
      </c>
      <c r="AC21" s="644"/>
      <c r="AD21" s="3"/>
    </row>
    <row r="22" spans="1:30" x14ac:dyDescent="0.25">
      <c r="A22" s="1"/>
      <c r="B22" s="22" t="s">
        <v>37</v>
      </c>
      <c r="C22" s="41" t="s">
        <v>38</v>
      </c>
      <c r="D22" s="456"/>
      <c r="E22" s="455"/>
      <c r="F22" s="454"/>
      <c r="G22" s="26">
        <f t="shared" si="1"/>
        <v>0</v>
      </c>
      <c r="H22" s="453">
        <v>180.857</v>
      </c>
      <c r="I22" s="20">
        <f t="shared" si="2"/>
        <v>180.857</v>
      </c>
      <c r="J22" s="456"/>
      <c r="K22" s="455"/>
      <c r="L22" s="454"/>
      <c r="M22" s="26">
        <f t="shared" si="0"/>
        <v>0</v>
      </c>
      <c r="N22" s="453">
        <v>200</v>
      </c>
      <c r="O22" s="20">
        <f t="shared" ref="O22:O23" si="9">M22+N22</f>
        <v>200</v>
      </c>
      <c r="P22" s="456"/>
      <c r="Q22" s="455"/>
      <c r="R22" s="454"/>
      <c r="S22" s="26">
        <f t="shared" si="4"/>
        <v>0</v>
      </c>
      <c r="T22" s="453">
        <v>51.305999999999997</v>
      </c>
      <c r="U22" s="20">
        <f t="shared" ref="U22:U23" si="10">S22+T22</f>
        <v>51.305999999999997</v>
      </c>
      <c r="V22" s="651"/>
      <c r="W22" s="646"/>
      <c r="X22" s="654"/>
      <c r="Y22" s="647">
        <f t="shared" si="6"/>
        <v>0</v>
      </c>
      <c r="Z22" s="650">
        <v>200</v>
      </c>
      <c r="AA22" s="642">
        <f t="shared" ref="AA22:AA23" si="11">Y22+Z22</f>
        <v>200</v>
      </c>
      <c r="AB22" s="643">
        <f t="shared" si="8"/>
        <v>1</v>
      </c>
      <c r="AC22" s="644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49"/>
      <c r="E23" s="448"/>
      <c r="F23" s="447"/>
      <c r="G23" s="48">
        <f t="shared" si="1"/>
        <v>0</v>
      </c>
      <c r="H23" s="445"/>
      <c r="I23" s="50">
        <f t="shared" si="2"/>
        <v>0</v>
      </c>
      <c r="J23" s="449"/>
      <c r="K23" s="448"/>
      <c r="L23" s="447"/>
      <c r="M23" s="48">
        <f t="shared" si="0"/>
        <v>0</v>
      </c>
      <c r="N23" s="445"/>
      <c r="O23" s="50">
        <f t="shared" si="9"/>
        <v>0</v>
      </c>
      <c r="P23" s="449"/>
      <c r="Q23" s="448"/>
      <c r="R23" s="447"/>
      <c r="S23" s="48">
        <f t="shared" si="4"/>
        <v>0</v>
      </c>
      <c r="T23" s="445"/>
      <c r="U23" s="50">
        <f t="shared" si="10"/>
        <v>0</v>
      </c>
      <c r="V23" s="655"/>
      <c r="W23" s="656"/>
      <c r="X23" s="657"/>
      <c r="Y23" s="658">
        <f t="shared" si="6"/>
        <v>0</v>
      </c>
      <c r="Z23" s="659"/>
      <c r="AA23" s="660">
        <f t="shared" si="11"/>
        <v>0</v>
      </c>
      <c r="AB23" s="661" t="e">
        <f t="shared" si="8"/>
        <v>#DIV/0!</v>
      </c>
      <c r="AC23" s="644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5891.3779999999997</v>
      </c>
      <c r="E24" s="55">
        <f>SUM(E15:E21)</f>
        <v>47944.493999999999</v>
      </c>
      <c r="F24" s="55">
        <f>SUM(F15:F21)</f>
        <v>3335.5460000000003</v>
      </c>
      <c r="G24" s="56">
        <f>SUM(D24:F24)</f>
        <v>57171.417999999998</v>
      </c>
      <c r="H24" s="57">
        <f>SUM(H15:H21)</f>
        <v>180.857</v>
      </c>
      <c r="I24" s="57">
        <f>SUM(I15:I21)</f>
        <v>57352.274999999994</v>
      </c>
      <c r="J24" s="54">
        <f>SUM(J15:J21)</f>
        <v>7513.9000000000005</v>
      </c>
      <c r="K24" s="55">
        <f>SUM(K15:K21)</f>
        <v>47994.266000000003</v>
      </c>
      <c r="L24" s="55">
        <f>SUM(L15:L21)</f>
        <v>3576.88</v>
      </c>
      <c r="M24" s="56">
        <f>SUM(J24:L24)</f>
        <v>59085.046000000002</v>
      </c>
      <c r="N24" s="57">
        <f>SUM(N15:N21)</f>
        <v>200</v>
      </c>
      <c r="O24" s="57">
        <f>SUM(O15:O21)</f>
        <v>59285.046000000002</v>
      </c>
      <c r="P24" s="54">
        <f>SUM(P15:P21)</f>
        <v>2916.6979999999999</v>
      </c>
      <c r="Q24" s="55">
        <f>SUM(Q15:Q21)</f>
        <v>21970.866999999998</v>
      </c>
      <c r="R24" s="55">
        <f>SUM(R15:R21)</f>
        <v>2088.0909999999999</v>
      </c>
      <c r="S24" s="56">
        <f>SUM(P24:R24)</f>
        <v>26975.655999999999</v>
      </c>
      <c r="T24" s="57">
        <f>SUM(T15:T21)</f>
        <v>51.305999999999997</v>
      </c>
      <c r="U24" s="57">
        <f>SUM(U15:U21)</f>
        <v>27026.962</v>
      </c>
      <c r="V24" s="662">
        <f>SUM(V15:V21)</f>
        <v>6889.8</v>
      </c>
      <c r="W24" s="663">
        <f>SUM(W15:W21)</f>
        <v>44888.675000000003</v>
      </c>
      <c r="X24" s="663">
        <f>SUM(X15:X21)</f>
        <v>3816.88</v>
      </c>
      <c r="Y24" s="664">
        <f>SUM(V24:X24)</f>
        <v>55595.355000000003</v>
      </c>
      <c r="Z24" s="665">
        <f>SUM(Z15:Z21)</f>
        <v>200</v>
      </c>
      <c r="AA24" s="665">
        <f>SUM(AA15:AA21)</f>
        <v>55795.355000000003</v>
      </c>
      <c r="AB24" s="666">
        <f t="shared" si="8"/>
        <v>0.94113707864880469</v>
      </c>
      <c r="AC24" s="644"/>
      <c r="AD24" s="3"/>
    </row>
    <row r="25" spans="1:30" ht="15.75" customHeight="1" thickBot="1" x14ac:dyDescent="0.3">
      <c r="A25" s="1"/>
      <c r="B25" s="59"/>
      <c r="C25" s="60"/>
      <c r="D25" s="885" t="s">
        <v>43</v>
      </c>
      <c r="E25" s="886"/>
      <c r="F25" s="886"/>
      <c r="G25" s="887"/>
      <c r="H25" s="887"/>
      <c r="I25" s="888"/>
      <c r="J25" s="885" t="s">
        <v>43</v>
      </c>
      <c r="K25" s="886"/>
      <c r="L25" s="886"/>
      <c r="M25" s="887"/>
      <c r="N25" s="887"/>
      <c r="O25" s="888"/>
      <c r="P25" s="885" t="s">
        <v>43</v>
      </c>
      <c r="Q25" s="886"/>
      <c r="R25" s="886"/>
      <c r="S25" s="887"/>
      <c r="T25" s="887"/>
      <c r="U25" s="888"/>
      <c r="V25" s="975" t="s">
        <v>43</v>
      </c>
      <c r="W25" s="976"/>
      <c r="X25" s="976"/>
      <c r="Y25" s="977"/>
      <c r="Z25" s="977"/>
      <c r="AA25" s="978"/>
      <c r="AB25" s="979" t="s">
        <v>12</v>
      </c>
      <c r="AC25" s="644"/>
      <c r="AD25" s="3"/>
    </row>
    <row r="26" spans="1:30" ht="15.75" thickBot="1" x14ac:dyDescent="0.3">
      <c r="A26" s="1"/>
      <c r="B26" s="932" t="s">
        <v>6</v>
      </c>
      <c r="C26" s="917" t="s">
        <v>7</v>
      </c>
      <c r="D26" s="896" t="s">
        <v>44</v>
      </c>
      <c r="E26" s="897"/>
      <c r="F26" s="897"/>
      <c r="G26" s="913" t="s">
        <v>45</v>
      </c>
      <c r="H26" s="915" t="s">
        <v>46</v>
      </c>
      <c r="I26" s="898" t="s">
        <v>43</v>
      </c>
      <c r="J26" s="896" t="s">
        <v>44</v>
      </c>
      <c r="K26" s="897"/>
      <c r="L26" s="897"/>
      <c r="M26" s="913" t="s">
        <v>45</v>
      </c>
      <c r="N26" s="915" t="s">
        <v>46</v>
      </c>
      <c r="O26" s="898" t="s">
        <v>43</v>
      </c>
      <c r="P26" s="896" t="s">
        <v>44</v>
      </c>
      <c r="Q26" s="897"/>
      <c r="R26" s="897"/>
      <c r="S26" s="913" t="s">
        <v>45</v>
      </c>
      <c r="T26" s="915" t="s">
        <v>46</v>
      </c>
      <c r="U26" s="898" t="s">
        <v>43</v>
      </c>
      <c r="V26" s="971" t="s">
        <v>44</v>
      </c>
      <c r="W26" s="972"/>
      <c r="X26" s="972"/>
      <c r="Y26" s="973" t="s">
        <v>45</v>
      </c>
      <c r="Z26" s="967" t="s">
        <v>46</v>
      </c>
      <c r="AA26" s="969" t="s">
        <v>43</v>
      </c>
      <c r="AB26" s="980"/>
      <c r="AC26" s="644"/>
      <c r="AD26" s="3"/>
    </row>
    <row r="27" spans="1:30" ht="15.75" thickBot="1" x14ac:dyDescent="0.3">
      <c r="A27" s="1"/>
      <c r="B27" s="933"/>
      <c r="C27" s="918"/>
      <c r="D27" s="61" t="s">
        <v>47</v>
      </c>
      <c r="E27" s="62" t="s">
        <v>48</v>
      </c>
      <c r="F27" s="63" t="s">
        <v>49</v>
      </c>
      <c r="G27" s="914"/>
      <c r="H27" s="916"/>
      <c r="I27" s="899"/>
      <c r="J27" s="61" t="s">
        <v>47</v>
      </c>
      <c r="K27" s="62" t="s">
        <v>48</v>
      </c>
      <c r="L27" s="63" t="s">
        <v>49</v>
      </c>
      <c r="M27" s="914"/>
      <c r="N27" s="916"/>
      <c r="O27" s="899"/>
      <c r="P27" s="61" t="s">
        <v>47</v>
      </c>
      <c r="Q27" s="62" t="s">
        <v>48</v>
      </c>
      <c r="R27" s="63" t="s">
        <v>49</v>
      </c>
      <c r="S27" s="914"/>
      <c r="T27" s="916"/>
      <c r="U27" s="899"/>
      <c r="V27" s="667" t="s">
        <v>47</v>
      </c>
      <c r="W27" s="668" t="s">
        <v>48</v>
      </c>
      <c r="X27" s="669" t="s">
        <v>49</v>
      </c>
      <c r="Y27" s="974"/>
      <c r="Z27" s="968"/>
      <c r="AA27" s="970"/>
      <c r="AB27" s="981"/>
      <c r="AC27" s="644"/>
      <c r="AD27" s="3"/>
    </row>
    <row r="28" spans="1:30" x14ac:dyDescent="0.25">
      <c r="A28" s="1"/>
      <c r="B28" s="13" t="s">
        <v>50</v>
      </c>
      <c r="C28" s="64" t="s">
        <v>51</v>
      </c>
      <c r="D28" s="431">
        <v>141.94300000000001</v>
      </c>
      <c r="E28" s="430"/>
      <c r="F28" s="430"/>
      <c r="G28" s="66">
        <f>SUM(D28:F28)</f>
        <v>141.94300000000001</v>
      </c>
      <c r="H28" s="429"/>
      <c r="I28" s="67">
        <f>G28+H28</f>
        <v>141.94300000000001</v>
      </c>
      <c r="J28" s="431">
        <v>120</v>
      </c>
      <c r="K28" s="430"/>
      <c r="L28" s="430"/>
      <c r="M28" s="66">
        <f>SUM(J28:L28)</f>
        <v>120</v>
      </c>
      <c r="N28" s="429"/>
      <c r="O28" s="67">
        <f>M28+N28</f>
        <v>120</v>
      </c>
      <c r="P28" s="431">
        <v>15.702999999999999</v>
      </c>
      <c r="Q28" s="430"/>
      <c r="R28" s="430"/>
      <c r="S28" s="66">
        <f>SUM(P28:R28)</f>
        <v>15.702999999999999</v>
      </c>
      <c r="T28" s="66"/>
      <c r="U28" s="67">
        <f>S28+T28</f>
        <v>15.702999999999999</v>
      </c>
      <c r="V28" s="670">
        <v>200</v>
      </c>
      <c r="W28" s="671"/>
      <c r="X28" s="671"/>
      <c r="Y28" s="672">
        <f>SUM(V28:X28)</f>
        <v>200</v>
      </c>
      <c r="Z28" s="672"/>
      <c r="AA28" s="673">
        <f>Y28+Z28</f>
        <v>200</v>
      </c>
      <c r="AB28" s="643">
        <f t="shared" ref="AB28:AB41" si="12">(AA28/O28)</f>
        <v>1.6666666666666667</v>
      </c>
      <c r="AC28" s="644"/>
      <c r="AD28" s="3"/>
    </row>
    <row r="29" spans="1:30" x14ac:dyDescent="0.25">
      <c r="A29" s="1"/>
      <c r="B29" s="22" t="s">
        <v>52</v>
      </c>
      <c r="C29" s="69" t="s">
        <v>53</v>
      </c>
      <c r="D29" s="422">
        <v>543.16200000000003</v>
      </c>
      <c r="E29" s="674">
        <v>571.72799999999995</v>
      </c>
      <c r="F29" s="421">
        <v>1525.1410000000001</v>
      </c>
      <c r="G29" s="71">
        <f t="shared" ref="G29:G38" si="13">SUM(D29:F29)</f>
        <v>2640.0309999999999</v>
      </c>
      <c r="H29" s="416">
        <v>11.811</v>
      </c>
      <c r="I29" s="20">
        <f t="shared" ref="I29:I38" si="14">G29+H29</f>
        <v>2651.8420000000001</v>
      </c>
      <c r="J29" s="422">
        <v>507</v>
      </c>
      <c r="K29" s="674">
        <v>162.83199999999999</v>
      </c>
      <c r="L29" s="421">
        <v>1980</v>
      </c>
      <c r="M29" s="71">
        <f t="shared" ref="M29:M38" si="15">SUM(J29:L29)</f>
        <v>2649.8319999999999</v>
      </c>
      <c r="N29" s="416">
        <v>50</v>
      </c>
      <c r="O29" s="20">
        <f t="shared" ref="O29:O38" si="16">M29+N29</f>
        <v>2699.8319999999999</v>
      </c>
      <c r="P29" s="422">
        <v>332.70499999999998</v>
      </c>
      <c r="Q29" s="421">
        <v>111.372</v>
      </c>
      <c r="R29" s="421">
        <v>1078.905</v>
      </c>
      <c r="S29" s="71">
        <f t="shared" ref="S29:S38" si="17">SUM(P29:R29)</f>
        <v>1522.982</v>
      </c>
      <c r="T29" s="72"/>
      <c r="U29" s="20">
        <f t="shared" ref="U29:U38" si="18">S29+T29</f>
        <v>1522.982</v>
      </c>
      <c r="V29" s="675">
        <v>568.93100000000004</v>
      </c>
      <c r="W29" s="632">
        <v>146.578</v>
      </c>
      <c r="X29" s="632">
        <v>2200</v>
      </c>
      <c r="Y29" s="676">
        <f t="shared" ref="Y29:Y38" si="19">SUM(V29:X29)</f>
        <v>2915.509</v>
      </c>
      <c r="Z29" s="676">
        <v>50</v>
      </c>
      <c r="AA29" s="642">
        <f t="shared" ref="AA29:AA38" si="20">Y29+Z29</f>
        <v>2965.509</v>
      </c>
      <c r="AB29" s="643">
        <f t="shared" si="12"/>
        <v>1.0984050118674051</v>
      </c>
      <c r="AC29" s="644"/>
      <c r="AD29" s="3"/>
    </row>
    <row r="30" spans="1:30" x14ac:dyDescent="0.25">
      <c r="A30" s="1"/>
      <c r="B30" s="22" t="s">
        <v>54</v>
      </c>
      <c r="C30" s="41" t="s">
        <v>55</v>
      </c>
      <c r="D30" s="422">
        <v>3331.7339999999999</v>
      </c>
      <c r="E30" s="674"/>
      <c r="F30" s="421"/>
      <c r="G30" s="71">
        <f t="shared" si="13"/>
        <v>3331.7339999999999</v>
      </c>
      <c r="H30" s="416">
        <v>42.210999999999999</v>
      </c>
      <c r="I30" s="20">
        <f t="shared" si="14"/>
        <v>3373.9449999999997</v>
      </c>
      <c r="J30" s="422">
        <v>5126</v>
      </c>
      <c r="K30" s="674"/>
      <c r="L30" s="421"/>
      <c r="M30" s="71">
        <f t="shared" si="15"/>
        <v>5126</v>
      </c>
      <c r="N30" s="416">
        <v>110</v>
      </c>
      <c r="O30" s="20">
        <f t="shared" si="16"/>
        <v>5236</v>
      </c>
      <c r="P30" s="422">
        <v>1900.425</v>
      </c>
      <c r="Q30" s="421"/>
      <c r="R30" s="421"/>
      <c r="S30" s="71">
        <f t="shared" si="17"/>
        <v>1900.425</v>
      </c>
      <c r="T30" s="71"/>
      <c r="U30" s="20">
        <f t="shared" si="18"/>
        <v>1900.425</v>
      </c>
      <c r="V30" s="675">
        <v>4300</v>
      </c>
      <c r="W30" s="632"/>
      <c r="X30" s="632"/>
      <c r="Y30" s="676">
        <f t="shared" si="19"/>
        <v>4300</v>
      </c>
      <c r="Z30" s="676">
        <v>110</v>
      </c>
      <c r="AA30" s="642">
        <f t="shared" si="20"/>
        <v>4410</v>
      </c>
      <c r="AB30" s="643">
        <f t="shared" si="12"/>
        <v>0.84224598930481287</v>
      </c>
      <c r="AC30" s="644"/>
      <c r="AD30" s="3"/>
    </row>
    <row r="31" spans="1:30" x14ac:dyDescent="0.25">
      <c r="A31" s="1"/>
      <c r="B31" s="22" t="s">
        <v>56</v>
      </c>
      <c r="C31" s="41" t="s">
        <v>57</v>
      </c>
      <c r="D31" s="422">
        <v>842.13199999999995</v>
      </c>
      <c r="E31" s="674">
        <v>60.073</v>
      </c>
      <c r="F31" s="421">
        <v>4.9779999999999998</v>
      </c>
      <c r="G31" s="71">
        <f t="shared" si="13"/>
        <v>907.18299999999988</v>
      </c>
      <c r="H31" s="416">
        <v>7.65</v>
      </c>
      <c r="I31" s="20">
        <f t="shared" si="14"/>
        <v>914.83299999999986</v>
      </c>
      <c r="J31" s="422">
        <v>861.43100000000004</v>
      </c>
      <c r="K31" s="674">
        <v>247</v>
      </c>
      <c r="L31" s="421">
        <v>20</v>
      </c>
      <c r="M31" s="71">
        <f t="shared" si="15"/>
        <v>1128.431</v>
      </c>
      <c r="N31" s="416">
        <v>40</v>
      </c>
      <c r="O31" s="20">
        <f t="shared" si="16"/>
        <v>1168.431</v>
      </c>
      <c r="P31" s="422">
        <v>573.72500000000002</v>
      </c>
      <c r="Q31" s="421">
        <v>30.434999999999999</v>
      </c>
      <c r="R31" s="421">
        <v>4.0720000000000001</v>
      </c>
      <c r="S31" s="71">
        <f t="shared" si="17"/>
        <v>608.23199999999997</v>
      </c>
      <c r="T31" s="71"/>
      <c r="U31" s="20">
        <f t="shared" si="18"/>
        <v>608.23199999999997</v>
      </c>
      <c r="V31" s="675">
        <v>949</v>
      </c>
      <c r="W31" s="632">
        <v>60</v>
      </c>
      <c r="X31" s="632">
        <v>20</v>
      </c>
      <c r="Y31" s="676">
        <f t="shared" si="19"/>
        <v>1029</v>
      </c>
      <c r="Z31" s="676">
        <v>40</v>
      </c>
      <c r="AA31" s="642">
        <f t="shared" si="20"/>
        <v>1069</v>
      </c>
      <c r="AB31" s="643">
        <f t="shared" si="12"/>
        <v>0.91490212087834022</v>
      </c>
      <c r="AC31" s="644"/>
      <c r="AD31" s="3"/>
    </row>
    <row r="32" spans="1:30" x14ac:dyDescent="0.25">
      <c r="A32" s="1"/>
      <c r="B32" s="22" t="s">
        <v>58</v>
      </c>
      <c r="C32" s="41" t="s">
        <v>59</v>
      </c>
      <c r="D32" s="424">
        <v>381.09500000000003</v>
      </c>
      <c r="E32" s="674">
        <v>34302.620000000003</v>
      </c>
      <c r="F32" s="421">
        <v>6.5</v>
      </c>
      <c r="G32" s="71">
        <f t="shared" si="13"/>
        <v>34690.215000000004</v>
      </c>
      <c r="H32" s="416"/>
      <c r="I32" s="20">
        <f t="shared" si="14"/>
        <v>34690.215000000004</v>
      </c>
      <c r="J32" s="677">
        <v>202.75399999999999</v>
      </c>
      <c r="K32" s="674">
        <v>34356.538</v>
      </c>
      <c r="L32" s="421"/>
      <c r="M32" s="71">
        <f t="shared" si="15"/>
        <v>34559.292000000001</v>
      </c>
      <c r="N32" s="416"/>
      <c r="O32" s="20">
        <f t="shared" si="16"/>
        <v>34559.292000000001</v>
      </c>
      <c r="P32" s="677">
        <v>202.75399999999999</v>
      </c>
      <c r="Q32" s="421">
        <v>15766.401</v>
      </c>
      <c r="R32" s="421"/>
      <c r="S32" s="71">
        <f t="shared" si="17"/>
        <v>15969.155000000001</v>
      </c>
      <c r="T32" s="71"/>
      <c r="U32" s="20">
        <f t="shared" si="18"/>
        <v>15969.155000000001</v>
      </c>
      <c r="V32" s="678">
        <v>135.63999999999999</v>
      </c>
      <c r="W32" s="632">
        <v>32393.413</v>
      </c>
      <c r="X32" s="632"/>
      <c r="Y32" s="676">
        <f t="shared" si="19"/>
        <v>32529.053</v>
      </c>
      <c r="Z32" s="676"/>
      <c r="AA32" s="642">
        <f t="shared" si="20"/>
        <v>32529.053</v>
      </c>
      <c r="AB32" s="643">
        <f t="shared" si="12"/>
        <v>0.9412534550765681</v>
      </c>
      <c r="AC32" s="644"/>
      <c r="AD32" s="3"/>
    </row>
    <row r="33" spans="1:30" x14ac:dyDescent="0.25">
      <c r="A33" s="1"/>
      <c r="B33" s="22" t="s">
        <v>60</v>
      </c>
      <c r="C33" s="35" t="s">
        <v>61</v>
      </c>
      <c r="D33" s="424">
        <v>270.495</v>
      </c>
      <c r="E33" s="674">
        <v>33981.714999999997</v>
      </c>
      <c r="F33" s="421">
        <v>0</v>
      </c>
      <c r="G33" s="71">
        <f t="shared" si="13"/>
        <v>34252.21</v>
      </c>
      <c r="H33" s="416"/>
      <c r="I33" s="20">
        <f t="shared" si="14"/>
        <v>34252.21</v>
      </c>
      <c r="J33" s="677">
        <v>138.95400000000001</v>
      </c>
      <c r="K33" s="674">
        <v>33553.413</v>
      </c>
      <c r="L33" s="421"/>
      <c r="M33" s="71">
        <f t="shared" si="15"/>
        <v>33692.366999999998</v>
      </c>
      <c r="N33" s="416"/>
      <c r="O33" s="20">
        <f t="shared" si="16"/>
        <v>33692.366999999998</v>
      </c>
      <c r="P33" s="677">
        <v>138.95400000000001</v>
      </c>
      <c r="Q33" s="421">
        <v>15378.036</v>
      </c>
      <c r="R33" s="421"/>
      <c r="S33" s="71">
        <f t="shared" si="17"/>
        <v>15516.99</v>
      </c>
      <c r="T33" s="71"/>
      <c r="U33" s="20">
        <f t="shared" si="18"/>
        <v>15516.99</v>
      </c>
      <c r="V33" s="678">
        <v>135.63999999999999</v>
      </c>
      <c r="W33" s="632">
        <v>32343.413</v>
      </c>
      <c r="X33" s="632"/>
      <c r="Y33" s="676">
        <f t="shared" si="19"/>
        <v>32479.053</v>
      </c>
      <c r="Z33" s="676"/>
      <c r="AA33" s="642">
        <f t="shared" si="20"/>
        <v>32479.053</v>
      </c>
      <c r="AB33" s="643">
        <f t="shared" si="12"/>
        <v>0.96398846065044941</v>
      </c>
      <c r="AC33" s="644"/>
      <c r="AD33" s="3"/>
    </row>
    <row r="34" spans="1:30" x14ac:dyDescent="0.25">
      <c r="A34" s="1"/>
      <c r="B34" s="22" t="s">
        <v>62</v>
      </c>
      <c r="C34" s="78" t="s">
        <v>63</v>
      </c>
      <c r="D34" s="424">
        <v>110.6</v>
      </c>
      <c r="E34" s="674">
        <v>320.90499999999997</v>
      </c>
      <c r="F34" s="421">
        <v>6.5</v>
      </c>
      <c r="G34" s="71">
        <f t="shared" si="13"/>
        <v>438.005</v>
      </c>
      <c r="H34" s="416"/>
      <c r="I34" s="20">
        <f t="shared" si="14"/>
        <v>438.005</v>
      </c>
      <c r="J34" s="424">
        <v>63.8</v>
      </c>
      <c r="K34" s="674">
        <v>803.125</v>
      </c>
      <c r="L34" s="421"/>
      <c r="M34" s="71">
        <f>SUM(J34:L34)</f>
        <v>866.92499999999995</v>
      </c>
      <c r="N34" s="416"/>
      <c r="O34" s="20">
        <f t="shared" si="16"/>
        <v>866.92499999999995</v>
      </c>
      <c r="P34" s="424">
        <v>63.8</v>
      </c>
      <c r="Q34" s="421">
        <v>388.36500000000001</v>
      </c>
      <c r="R34" s="421"/>
      <c r="S34" s="71">
        <f t="shared" si="17"/>
        <v>452.16500000000002</v>
      </c>
      <c r="T34" s="71"/>
      <c r="U34" s="20">
        <f t="shared" si="18"/>
        <v>452.16500000000002</v>
      </c>
      <c r="V34" s="678" t="s">
        <v>132</v>
      </c>
      <c r="W34" s="632">
        <v>50</v>
      </c>
      <c r="X34" s="632"/>
      <c r="Y34" s="676">
        <f t="shared" si="19"/>
        <v>50</v>
      </c>
      <c r="Z34" s="676"/>
      <c r="AA34" s="642">
        <f t="shared" si="20"/>
        <v>50</v>
      </c>
      <c r="AB34" s="643">
        <f t="shared" si="12"/>
        <v>5.7675116071171095E-2</v>
      </c>
      <c r="AC34" s="644"/>
      <c r="AD34" s="3"/>
    </row>
    <row r="35" spans="1:30" x14ac:dyDescent="0.25">
      <c r="A35" s="1"/>
      <c r="B35" s="22" t="s">
        <v>64</v>
      </c>
      <c r="C35" s="41" t="s">
        <v>65</v>
      </c>
      <c r="D35" s="424">
        <v>109.173</v>
      </c>
      <c r="E35" s="674">
        <v>11626.171</v>
      </c>
      <c r="F35" s="421"/>
      <c r="G35" s="71">
        <f t="shared" si="13"/>
        <v>11735.344000000001</v>
      </c>
      <c r="H35" s="416"/>
      <c r="I35" s="20">
        <f t="shared" si="14"/>
        <v>11735.344000000001</v>
      </c>
      <c r="J35" s="677">
        <v>46.966999999999999</v>
      </c>
      <c r="K35" s="674">
        <v>11497.828</v>
      </c>
      <c r="L35" s="421"/>
      <c r="M35" s="71">
        <f t="shared" si="15"/>
        <v>11544.795</v>
      </c>
      <c r="N35" s="416"/>
      <c r="O35" s="20">
        <f t="shared" si="16"/>
        <v>11544.795</v>
      </c>
      <c r="P35" s="677">
        <v>46.966999999999999</v>
      </c>
      <c r="Q35" s="421">
        <v>5281.5810000000001</v>
      </c>
      <c r="R35" s="421"/>
      <c r="S35" s="71">
        <f t="shared" si="17"/>
        <v>5328.5479999999998</v>
      </c>
      <c r="T35" s="71"/>
      <c r="U35" s="20">
        <f t="shared" si="18"/>
        <v>5328.5479999999998</v>
      </c>
      <c r="V35" s="678">
        <v>45.847000000000001</v>
      </c>
      <c r="W35" s="632">
        <v>11084.816000000001</v>
      </c>
      <c r="X35" s="632"/>
      <c r="Y35" s="676">
        <f t="shared" si="19"/>
        <v>11130.663</v>
      </c>
      <c r="Z35" s="676"/>
      <c r="AA35" s="642">
        <f t="shared" si="20"/>
        <v>11130.663</v>
      </c>
      <c r="AB35" s="643">
        <f t="shared" si="12"/>
        <v>0.96412825000357305</v>
      </c>
      <c r="AC35" s="644"/>
      <c r="AD35" s="3"/>
    </row>
    <row r="36" spans="1:30" x14ac:dyDescent="0.25">
      <c r="A36" s="1"/>
      <c r="B36" s="22" t="s">
        <v>66</v>
      </c>
      <c r="C36" s="41" t="s">
        <v>67</v>
      </c>
      <c r="D36" s="422"/>
      <c r="E36" s="674"/>
      <c r="F36" s="421"/>
      <c r="G36" s="71">
        <f t="shared" si="13"/>
        <v>0</v>
      </c>
      <c r="H36" s="416"/>
      <c r="I36" s="20">
        <f t="shared" si="14"/>
        <v>0</v>
      </c>
      <c r="J36" s="422"/>
      <c r="K36" s="674"/>
      <c r="L36" s="421"/>
      <c r="M36" s="71">
        <f t="shared" si="15"/>
        <v>0</v>
      </c>
      <c r="N36" s="416"/>
      <c r="O36" s="20">
        <f t="shared" si="16"/>
        <v>0</v>
      </c>
      <c r="P36" s="422"/>
      <c r="Q36" s="421"/>
      <c r="R36" s="421"/>
      <c r="S36" s="71">
        <f t="shared" si="17"/>
        <v>0</v>
      </c>
      <c r="T36" s="71"/>
      <c r="U36" s="20">
        <f t="shared" si="18"/>
        <v>0</v>
      </c>
      <c r="V36" s="675"/>
      <c r="W36" s="632"/>
      <c r="X36" s="632"/>
      <c r="Y36" s="676">
        <f t="shared" si="19"/>
        <v>0</v>
      </c>
      <c r="Z36" s="676"/>
      <c r="AA36" s="642">
        <f t="shared" si="20"/>
        <v>0</v>
      </c>
      <c r="AB36" s="643" t="e">
        <f t="shared" si="12"/>
        <v>#DIV/0!</v>
      </c>
      <c r="AC36" s="644"/>
      <c r="AD36" s="3"/>
    </row>
    <row r="37" spans="1:30" x14ac:dyDescent="0.25">
      <c r="A37" s="1"/>
      <c r="B37" s="22" t="s">
        <v>68</v>
      </c>
      <c r="C37" s="41" t="s">
        <v>69</v>
      </c>
      <c r="D37" s="422">
        <v>468.06900000000002</v>
      </c>
      <c r="E37" s="674"/>
      <c r="F37" s="421">
        <v>1446.88</v>
      </c>
      <c r="G37" s="71">
        <f t="shared" si="13"/>
        <v>1914.9490000000001</v>
      </c>
      <c r="H37" s="416"/>
      <c r="I37" s="20">
        <f t="shared" si="14"/>
        <v>1914.9490000000001</v>
      </c>
      <c r="J37" s="422">
        <v>468.06900000000002</v>
      </c>
      <c r="K37" s="674"/>
      <c r="L37" s="421">
        <v>1446.88</v>
      </c>
      <c r="M37" s="71">
        <f t="shared" si="15"/>
        <v>1914.9490000000001</v>
      </c>
      <c r="N37" s="416"/>
      <c r="O37" s="20">
        <f t="shared" si="16"/>
        <v>1914.9490000000001</v>
      </c>
      <c r="P37" s="422">
        <v>235.143</v>
      </c>
      <c r="Q37" s="421"/>
      <c r="R37" s="421">
        <v>723.43600000000004</v>
      </c>
      <c r="S37" s="71">
        <f t="shared" si="17"/>
        <v>958.57900000000006</v>
      </c>
      <c r="T37" s="71"/>
      <c r="U37" s="20">
        <f t="shared" si="18"/>
        <v>958.57900000000006</v>
      </c>
      <c r="V37" s="422">
        <v>468.06900000000002</v>
      </c>
      <c r="W37" s="632"/>
      <c r="X37" s="632">
        <v>1446.88</v>
      </c>
      <c r="Y37" s="676">
        <f t="shared" si="19"/>
        <v>1914.9490000000001</v>
      </c>
      <c r="Z37" s="676"/>
      <c r="AA37" s="642">
        <f t="shared" si="20"/>
        <v>1914.9490000000001</v>
      </c>
      <c r="AB37" s="643">
        <f t="shared" si="12"/>
        <v>1</v>
      </c>
      <c r="AC37" s="644"/>
      <c r="AD37" s="3"/>
    </row>
    <row r="38" spans="1:30" ht="15.75" thickBot="1" x14ac:dyDescent="0.3">
      <c r="A38" s="1"/>
      <c r="B38" s="79" t="s">
        <v>70</v>
      </c>
      <c r="C38" s="80" t="s">
        <v>71</v>
      </c>
      <c r="D38" s="415">
        <v>282.09899999999999</v>
      </c>
      <c r="E38" s="679">
        <v>1383.902</v>
      </c>
      <c r="F38" s="414">
        <v>110.473</v>
      </c>
      <c r="G38" s="71">
        <f t="shared" si="13"/>
        <v>1776.4739999999999</v>
      </c>
      <c r="H38" s="413"/>
      <c r="I38" s="50">
        <f t="shared" si="14"/>
        <v>1776.4739999999999</v>
      </c>
      <c r="J38" s="415">
        <v>181.679</v>
      </c>
      <c r="K38" s="679">
        <v>1730.068</v>
      </c>
      <c r="L38" s="414">
        <v>130</v>
      </c>
      <c r="M38" s="82">
        <f t="shared" si="15"/>
        <v>2041.7470000000001</v>
      </c>
      <c r="N38" s="413"/>
      <c r="O38" s="50">
        <f t="shared" si="16"/>
        <v>2041.7470000000001</v>
      </c>
      <c r="P38" s="415">
        <v>131.428</v>
      </c>
      <c r="Q38" s="414">
        <v>781.07799999999997</v>
      </c>
      <c r="R38" s="414">
        <v>129.93199999999999</v>
      </c>
      <c r="S38" s="82">
        <f t="shared" si="17"/>
        <v>1042.4379999999999</v>
      </c>
      <c r="T38" s="82"/>
      <c r="U38" s="50">
        <f t="shared" si="18"/>
        <v>1042.4379999999999</v>
      </c>
      <c r="V38" s="680">
        <v>222.31299999999999</v>
      </c>
      <c r="W38" s="635">
        <v>1203.8679999999999</v>
      </c>
      <c r="X38" s="635">
        <v>150</v>
      </c>
      <c r="Y38" s="681">
        <f t="shared" si="19"/>
        <v>1576.181</v>
      </c>
      <c r="Z38" s="681"/>
      <c r="AA38" s="660">
        <f t="shared" si="20"/>
        <v>1576.181</v>
      </c>
      <c r="AB38" s="661">
        <f t="shared" si="12"/>
        <v>0.77197664549035705</v>
      </c>
      <c r="AC38" s="644"/>
      <c r="AD38" s="3"/>
    </row>
    <row r="39" spans="1:30" ht="15.75" thickBot="1" x14ac:dyDescent="0.3">
      <c r="A39" s="1"/>
      <c r="B39" s="52" t="s">
        <v>72</v>
      </c>
      <c r="C39" s="84" t="s">
        <v>73</v>
      </c>
      <c r="D39" s="85">
        <f>SUM(D35:D38)+SUM(D28:D32)</f>
        <v>6099.4069999999992</v>
      </c>
      <c r="E39" s="85">
        <f>SUM(E35:E38)+SUM(E28:E32)</f>
        <v>47944.494000000006</v>
      </c>
      <c r="F39" s="85">
        <f>SUM(F35:F38)+SUM(F28:F32)</f>
        <v>3093.9720000000002</v>
      </c>
      <c r="G39" s="86">
        <f>SUM(D39:F39)</f>
        <v>57137.873000000007</v>
      </c>
      <c r="H39" s="87">
        <f>SUM(H28:H32)+SUM(H35:H38)</f>
        <v>61.671999999999997</v>
      </c>
      <c r="I39" s="88">
        <f>SUM(I35:I38)+SUM(I28:I32)</f>
        <v>57199.545000000006</v>
      </c>
      <c r="J39" s="85">
        <f>SUM(J35:J38)+SUM(J28:J32)</f>
        <v>7513.9000000000005</v>
      </c>
      <c r="K39" s="85">
        <f>SUM(K35:K38)+SUM(K28:K32)</f>
        <v>47994.266000000003</v>
      </c>
      <c r="L39" s="85">
        <f>SUM(L35:L38)+SUM(L28:L32)</f>
        <v>3576.88</v>
      </c>
      <c r="M39" s="86">
        <f>SUM(J39:L39)</f>
        <v>59085.046000000002</v>
      </c>
      <c r="N39" s="87">
        <f>SUM(N28:N32)+SUM(N35:N38)</f>
        <v>200</v>
      </c>
      <c r="O39" s="88">
        <f>SUM(O35:O38)+SUM(O28:O32)</f>
        <v>59285.046000000002</v>
      </c>
      <c r="P39" s="85">
        <f>SUM(P35:P38)+SUM(P28:P32)</f>
        <v>3438.85</v>
      </c>
      <c r="Q39" s="85">
        <f>SUM(Q35:Q38)+SUM(Q28:Q32)</f>
        <v>21970.866999999998</v>
      </c>
      <c r="R39" s="85">
        <f>SUM(R35:R38)+SUM(R28:R32)</f>
        <v>1936.3449999999998</v>
      </c>
      <c r="S39" s="86">
        <f>SUM(P39:R39)</f>
        <v>27346.061999999998</v>
      </c>
      <c r="T39" s="87">
        <f>SUM(T28:T32)+SUM(T35:T38)</f>
        <v>0</v>
      </c>
      <c r="U39" s="88">
        <f>SUM(U35:U38)+SUM(U28:U32)</f>
        <v>27346.061999999998</v>
      </c>
      <c r="V39" s="682">
        <f>SUM(V35:V38)+SUM(V28:V32)</f>
        <v>6889.8000000000011</v>
      </c>
      <c r="W39" s="682">
        <f>SUM(W35:W38)+SUM(W28:W32)</f>
        <v>44888.675000000003</v>
      </c>
      <c r="X39" s="682">
        <f>SUM(X35:X38)+SUM(X28:X32)</f>
        <v>3816.88</v>
      </c>
      <c r="Y39" s="672">
        <f>SUM(V39:X39)</f>
        <v>55595.355000000003</v>
      </c>
      <c r="Z39" s="683">
        <f>SUM(Z28:Z32)+SUM(Z35:Z38)</f>
        <v>200</v>
      </c>
      <c r="AA39" s="684">
        <f>SUM(AA35:AA38)+SUM(AA28:AA32)</f>
        <v>55795.354999999996</v>
      </c>
      <c r="AB39" s="666">
        <f t="shared" si="12"/>
        <v>0.94113707864880447</v>
      </c>
      <c r="AC39" s="644"/>
      <c r="AD39" s="3"/>
    </row>
    <row r="40" spans="1:30" ht="19.5" thickBot="1" x14ac:dyDescent="0.35">
      <c r="A40" s="1"/>
      <c r="B40" s="90" t="s">
        <v>74</v>
      </c>
      <c r="C40" s="91" t="s">
        <v>75</v>
      </c>
      <c r="D40" s="92">
        <f t="shared" ref="D40:AA40" si="21">D24-D39</f>
        <v>-208.02899999999954</v>
      </c>
      <c r="E40" s="92">
        <f t="shared" si="21"/>
        <v>0</v>
      </c>
      <c r="F40" s="92">
        <f t="shared" si="21"/>
        <v>241.57400000000007</v>
      </c>
      <c r="G40" s="93">
        <f t="shared" si="21"/>
        <v>33.544999999990978</v>
      </c>
      <c r="H40" s="93">
        <f t="shared" si="21"/>
        <v>119.185</v>
      </c>
      <c r="I40" s="94">
        <f t="shared" si="21"/>
        <v>152.72999999998865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-522.15200000000004</v>
      </c>
      <c r="Q40" s="92">
        <f t="shared" si="21"/>
        <v>0</v>
      </c>
      <c r="R40" s="92">
        <f t="shared" si="21"/>
        <v>151.74600000000009</v>
      </c>
      <c r="S40" s="93">
        <f t="shared" si="21"/>
        <v>-370.40599999999904</v>
      </c>
      <c r="T40" s="93">
        <f t="shared" si="21"/>
        <v>51.305999999999997</v>
      </c>
      <c r="U40" s="94">
        <f t="shared" si="21"/>
        <v>-319.09999999999854</v>
      </c>
      <c r="V40" s="685">
        <f t="shared" si="21"/>
        <v>0</v>
      </c>
      <c r="W40" s="685">
        <f t="shared" si="21"/>
        <v>0</v>
      </c>
      <c r="X40" s="685">
        <f t="shared" si="21"/>
        <v>0</v>
      </c>
      <c r="Y40" s="686">
        <f t="shared" si="21"/>
        <v>0</v>
      </c>
      <c r="Z40" s="686">
        <f t="shared" si="21"/>
        <v>0</v>
      </c>
      <c r="AA40" s="687">
        <f t="shared" si="21"/>
        <v>0</v>
      </c>
      <c r="AB40" s="688" t="e">
        <f t="shared" si="12"/>
        <v>#DIV/0!</v>
      </c>
      <c r="AC40" s="644"/>
      <c r="AD40" s="3"/>
    </row>
    <row r="41" spans="1:30" ht="15.75" thickBot="1" x14ac:dyDescent="0.3">
      <c r="A41" s="1"/>
      <c r="B41" s="96" t="s">
        <v>76</v>
      </c>
      <c r="C41" s="97" t="s">
        <v>77</v>
      </c>
      <c r="D41" s="98"/>
      <c r="E41" s="99"/>
      <c r="F41" s="99"/>
      <c r="G41" s="100"/>
      <c r="H41" s="101"/>
      <c r="I41" s="102">
        <f>I40-D16</f>
        <v>-5258.2480000000114</v>
      </c>
      <c r="J41" s="98"/>
      <c r="K41" s="99"/>
      <c r="L41" s="99"/>
      <c r="M41" s="100"/>
      <c r="N41" s="103"/>
      <c r="O41" s="102">
        <f>O40-J16</f>
        <v>-5668.6</v>
      </c>
      <c r="P41" s="98"/>
      <c r="Q41" s="99"/>
      <c r="R41" s="99"/>
      <c r="S41" s="100"/>
      <c r="T41" s="103"/>
      <c r="U41" s="102">
        <f>U40-P16</f>
        <v>-2967.6999999999985</v>
      </c>
      <c r="V41" s="689"/>
      <c r="W41" s="690"/>
      <c r="X41" s="690"/>
      <c r="Y41" s="691"/>
      <c r="Z41" s="692"/>
      <c r="AA41" s="693">
        <f>AA40-V16</f>
        <v>-6620</v>
      </c>
      <c r="AB41" s="643">
        <f t="shared" si="12"/>
        <v>1.1678368556610097</v>
      </c>
      <c r="AC41" s="644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694"/>
      <c r="W42" s="694"/>
      <c r="X42" s="694"/>
      <c r="Y42" s="694"/>
      <c r="Z42" s="694"/>
      <c r="AA42" s="694"/>
      <c r="AB42" s="694"/>
      <c r="AC42" s="694"/>
      <c r="AD42" s="109"/>
    </row>
    <row r="43" spans="1:30" s="110" customFormat="1" ht="15.75" customHeight="1" thickBot="1" x14ac:dyDescent="0.3">
      <c r="A43" s="104"/>
      <c r="B43" s="111"/>
      <c r="C43" s="928" t="s">
        <v>78</v>
      </c>
      <c r="D43" s="112" t="s">
        <v>79</v>
      </c>
      <c r="E43" s="113" t="s">
        <v>80</v>
      </c>
      <c r="F43" s="114" t="s">
        <v>81</v>
      </c>
      <c r="G43" s="108"/>
      <c r="H43" s="108"/>
      <c r="I43" s="115"/>
      <c r="J43" s="112" t="s">
        <v>79</v>
      </c>
      <c r="K43" s="113" t="s">
        <v>80</v>
      </c>
      <c r="L43" s="114" t="s">
        <v>81</v>
      </c>
      <c r="M43" s="108"/>
      <c r="N43" s="108"/>
      <c r="O43" s="108"/>
      <c r="P43" s="112" t="s">
        <v>79</v>
      </c>
      <c r="Q43" s="113" t="s">
        <v>80</v>
      </c>
      <c r="R43" s="114" t="s">
        <v>81</v>
      </c>
      <c r="S43" s="109"/>
      <c r="T43" s="109"/>
      <c r="U43" s="109"/>
      <c r="V43" s="695" t="s">
        <v>79</v>
      </c>
      <c r="W43" s="696" t="s">
        <v>80</v>
      </c>
      <c r="X43" s="697" t="s">
        <v>81</v>
      </c>
      <c r="Y43" s="694"/>
      <c r="Z43" s="694"/>
      <c r="AA43" s="694"/>
      <c r="AB43" s="694"/>
      <c r="AC43" s="694"/>
      <c r="AD43" s="109"/>
    </row>
    <row r="44" spans="1:30" ht="15.75" thickBot="1" x14ac:dyDescent="0.3">
      <c r="A44" s="1"/>
      <c r="B44" s="111"/>
      <c r="C44" s="929"/>
      <c r="D44" s="116">
        <v>220</v>
      </c>
      <c r="E44" s="117">
        <v>220</v>
      </c>
      <c r="F44" s="118">
        <v>0</v>
      </c>
      <c r="G44" s="108"/>
      <c r="H44" s="108"/>
      <c r="I44" s="115"/>
      <c r="J44" s="116">
        <v>220</v>
      </c>
      <c r="K44" s="117">
        <v>220</v>
      </c>
      <c r="L44" s="118">
        <v>0</v>
      </c>
      <c r="M44" s="119"/>
      <c r="N44" s="119"/>
      <c r="O44" s="119"/>
      <c r="P44" s="116">
        <v>220</v>
      </c>
      <c r="Q44" s="117">
        <v>220</v>
      </c>
      <c r="R44" s="118">
        <v>0</v>
      </c>
      <c r="S44" s="3"/>
      <c r="T44" s="3"/>
      <c r="U44" s="3"/>
      <c r="V44" s="116">
        <v>220</v>
      </c>
      <c r="W44" s="117">
        <v>220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928" t="s">
        <v>82</v>
      </c>
      <c r="D46" s="120" t="s">
        <v>83</v>
      </c>
      <c r="E46" s="121" t="s">
        <v>84</v>
      </c>
      <c r="F46" s="108"/>
      <c r="G46" s="108"/>
      <c r="H46" s="108"/>
      <c r="I46" s="115"/>
      <c r="J46" s="120" t="s">
        <v>83</v>
      </c>
      <c r="K46" s="121" t="s">
        <v>84</v>
      </c>
      <c r="L46" s="122"/>
      <c r="M46" s="122"/>
      <c r="N46" s="109"/>
      <c r="O46" s="109"/>
      <c r="P46" s="120" t="s">
        <v>83</v>
      </c>
      <c r="Q46" s="121" t="s">
        <v>84</v>
      </c>
      <c r="R46" s="109"/>
      <c r="S46" s="109"/>
      <c r="T46" s="109"/>
      <c r="U46" s="109"/>
      <c r="V46" s="120" t="s">
        <v>83</v>
      </c>
      <c r="W46" s="121" t="s">
        <v>84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930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85</v>
      </c>
      <c r="D49" s="127" t="s">
        <v>86</v>
      </c>
      <c r="E49" s="127" t="s">
        <v>87</v>
      </c>
      <c r="F49" s="127" t="s">
        <v>88</v>
      </c>
      <c r="G49" s="127" t="s">
        <v>89</v>
      </c>
      <c r="H49" s="108"/>
      <c r="I49" s="3"/>
      <c r="J49" s="127" t="s">
        <v>86</v>
      </c>
      <c r="K49" s="127" t="s">
        <v>87</v>
      </c>
      <c r="L49" s="127" t="s">
        <v>88</v>
      </c>
      <c r="M49" s="127" t="s">
        <v>90</v>
      </c>
      <c r="N49" s="3"/>
      <c r="O49" s="3"/>
      <c r="P49" s="127" t="s">
        <v>86</v>
      </c>
      <c r="Q49" s="127" t="s">
        <v>87</v>
      </c>
      <c r="R49" s="127" t="s">
        <v>88</v>
      </c>
      <c r="S49" s="127" t="s">
        <v>220</v>
      </c>
      <c r="T49" s="3"/>
      <c r="U49" s="3"/>
      <c r="V49" s="127" t="s">
        <v>92</v>
      </c>
      <c r="W49" s="127" t="s">
        <v>87</v>
      </c>
      <c r="X49" s="127" t="s">
        <v>88</v>
      </c>
      <c r="Y49" s="127" t="s">
        <v>90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>
        <f>D51+D52+D53+D54</f>
        <v>2856.9029999999998</v>
      </c>
      <c r="E50" s="129">
        <f t="shared" ref="E50:F50" si="22">E51+E52+E53+E54</f>
        <v>4264.3140000000003</v>
      </c>
      <c r="F50" s="129">
        <f t="shared" si="22"/>
        <v>2408.4359999999997</v>
      </c>
      <c r="G50" s="130">
        <f>D50+E50-F50</f>
        <v>4712.7810000000009</v>
      </c>
      <c r="H50" s="108"/>
      <c r="I50" s="3"/>
      <c r="J50" s="130">
        <f t="shared" ref="J50:L50" si="23">J51+J52+J53+J54</f>
        <v>4712.78</v>
      </c>
      <c r="K50" s="130">
        <f t="shared" si="23"/>
        <v>1327.799</v>
      </c>
      <c r="L50" s="130">
        <f t="shared" si="23"/>
        <v>4729.4059999999999</v>
      </c>
      <c r="M50" s="130">
        <f>J50+K50-L50</f>
        <v>1311.1729999999998</v>
      </c>
      <c r="N50" s="3"/>
      <c r="O50" s="3"/>
      <c r="P50" s="129">
        <f>P51+P52+P53+P54</f>
        <v>4712.78</v>
      </c>
      <c r="Q50" s="129">
        <f t="shared" ref="Q50:R50" si="24">Q51+Q52+Q53+Q54</f>
        <v>704.25599999999997</v>
      </c>
      <c r="R50" s="129">
        <f t="shared" si="24"/>
        <v>1827.3110000000001</v>
      </c>
      <c r="S50" s="130">
        <f>P50+Q50-R50</f>
        <v>3589.7249999999999</v>
      </c>
      <c r="T50" s="3"/>
      <c r="U50" s="3"/>
      <c r="V50" s="129">
        <f>V51+V52+V53+V54</f>
        <v>1311.1719999999998</v>
      </c>
      <c r="W50" s="129">
        <f t="shared" ref="W50:X50" si="25">W51+W52+W53+W54</f>
        <v>1302</v>
      </c>
      <c r="X50" s="129">
        <f t="shared" si="25"/>
        <v>1720</v>
      </c>
      <c r="Y50" s="130">
        <f>V50+W50-X50</f>
        <v>893.17199999999957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1503.451</v>
      </c>
      <c r="E51" s="129">
        <v>3061.88</v>
      </c>
      <c r="F51" s="129">
        <v>1446.59</v>
      </c>
      <c r="G51" s="130">
        <f t="shared" ref="G51:G54" si="26">D51+E51-F51</f>
        <v>3118.741</v>
      </c>
      <c r="H51" s="108"/>
      <c r="I51" s="3"/>
      <c r="J51" s="129">
        <v>3118.74</v>
      </c>
      <c r="K51" s="129">
        <v>157.72999999999999</v>
      </c>
      <c r="L51" s="129">
        <v>3007.933</v>
      </c>
      <c r="M51" s="130">
        <f t="shared" ref="M51:M54" si="27">J51+K51-L51</f>
        <v>268.53699999999981</v>
      </c>
      <c r="N51" s="3"/>
      <c r="O51" s="3"/>
      <c r="P51" s="129">
        <v>3118.74</v>
      </c>
      <c r="Q51" s="131">
        <v>122.73</v>
      </c>
      <c r="R51" s="131">
        <v>976.99300000000005</v>
      </c>
      <c r="S51" s="130">
        <f t="shared" ref="S51:S54" si="28">P51+Q51-R51</f>
        <v>2264.4769999999999</v>
      </c>
      <c r="T51" s="3"/>
      <c r="U51" s="3"/>
      <c r="V51" s="130">
        <v>268.53699999999998</v>
      </c>
      <c r="W51" s="129">
        <v>30</v>
      </c>
      <c r="X51" s="129">
        <v>50</v>
      </c>
      <c r="Y51" s="130">
        <f t="shared" ref="Y51:Y54" si="29">V51+W51-X51</f>
        <v>248.53699999999998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31">
        <v>397.72699999999998</v>
      </c>
      <c r="E52" s="131">
        <v>468.06900000000002</v>
      </c>
      <c r="F52" s="131">
        <v>220.011</v>
      </c>
      <c r="G52" s="130">
        <f t="shared" si="26"/>
        <v>645.78500000000008</v>
      </c>
      <c r="H52" s="108"/>
      <c r="I52" s="3"/>
      <c r="J52" s="129">
        <v>645.78499999999997</v>
      </c>
      <c r="K52" s="129">
        <v>468.06900000000002</v>
      </c>
      <c r="L52" s="129">
        <v>679.47299999999996</v>
      </c>
      <c r="M52" s="130">
        <f t="shared" si="27"/>
        <v>434.38100000000009</v>
      </c>
      <c r="N52" s="3"/>
      <c r="O52" s="3"/>
      <c r="P52" s="131">
        <v>645.78499999999997</v>
      </c>
      <c r="Q52" s="131">
        <v>235.143</v>
      </c>
      <c r="R52" s="131">
        <v>273.75599999999997</v>
      </c>
      <c r="S52" s="130">
        <f t="shared" si="28"/>
        <v>607.17200000000003</v>
      </c>
      <c r="T52" s="3"/>
      <c r="U52" s="3"/>
      <c r="V52" s="130">
        <v>434.38099999999997</v>
      </c>
      <c r="W52" s="129">
        <v>600</v>
      </c>
      <c r="X52" s="129">
        <v>720</v>
      </c>
      <c r="Y52" s="130">
        <f t="shared" si="29"/>
        <v>314.38099999999986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31">
        <v>31.279</v>
      </c>
      <c r="E53" s="131">
        <v>45.112000000000002</v>
      </c>
      <c r="F53" s="131">
        <v>1.1279999999999999</v>
      </c>
      <c r="G53" s="130">
        <f t="shared" si="26"/>
        <v>75.263000000000005</v>
      </c>
      <c r="H53" s="108"/>
      <c r="I53" s="3"/>
      <c r="J53" s="129">
        <v>75.263000000000005</v>
      </c>
      <c r="K53" s="129">
        <v>30</v>
      </c>
      <c r="L53" s="129">
        <v>10</v>
      </c>
      <c r="M53" s="130">
        <f t="shared" si="27"/>
        <v>95.263000000000005</v>
      </c>
      <c r="N53" s="3"/>
      <c r="O53" s="3"/>
      <c r="P53" s="131">
        <v>75.263000000000005</v>
      </c>
      <c r="Q53" s="131">
        <v>30</v>
      </c>
      <c r="R53" s="131">
        <v>0</v>
      </c>
      <c r="S53" s="130">
        <f t="shared" si="28"/>
        <v>105.26300000000001</v>
      </c>
      <c r="T53" s="3"/>
      <c r="U53" s="3"/>
      <c r="V53" s="130">
        <v>95.262</v>
      </c>
      <c r="W53" s="129">
        <v>0</v>
      </c>
      <c r="X53" s="129">
        <v>10</v>
      </c>
      <c r="Y53" s="130">
        <f t="shared" si="29"/>
        <v>85.262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3" t="s">
        <v>97</v>
      </c>
      <c r="D54" s="131">
        <v>924.44600000000003</v>
      </c>
      <c r="E54" s="131">
        <v>689.25300000000004</v>
      </c>
      <c r="F54" s="131">
        <v>740.70699999999999</v>
      </c>
      <c r="G54" s="130">
        <f t="shared" si="26"/>
        <v>872.99200000000008</v>
      </c>
      <c r="H54" s="108"/>
      <c r="I54" s="3"/>
      <c r="J54" s="129">
        <v>872.99199999999996</v>
      </c>
      <c r="K54" s="129">
        <v>672</v>
      </c>
      <c r="L54" s="129">
        <v>1032</v>
      </c>
      <c r="M54" s="130">
        <f t="shared" si="27"/>
        <v>512.99199999999996</v>
      </c>
      <c r="N54" s="698"/>
      <c r="O54" s="3"/>
      <c r="P54" s="131">
        <v>872.99199999999996</v>
      </c>
      <c r="Q54" s="131">
        <v>316.38299999999998</v>
      </c>
      <c r="R54" s="131">
        <v>576.56200000000001</v>
      </c>
      <c r="S54" s="130">
        <f t="shared" si="28"/>
        <v>612.81299999999999</v>
      </c>
      <c r="T54" s="698"/>
      <c r="U54" s="3"/>
      <c r="V54" s="130">
        <v>512.99199999999996</v>
      </c>
      <c r="W54" s="129">
        <v>672</v>
      </c>
      <c r="X54" s="129">
        <v>940</v>
      </c>
      <c r="Y54" s="130">
        <f t="shared" si="29"/>
        <v>244.99199999999996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0.5" customHeight="1" x14ac:dyDescent="0.25">
      <c r="A56" s="1"/>
      <c r="B56" s="123"/>
      <c r="C56" s="106"/>
      <c r="D56" s="108"/>
      <c r="E56" s="108"/>
      <c r="F56" s="108"/>
      <c r="G56" s="108"/>
      <c r="H56" s="108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6" t="s">
        <v>98</v>
      </c>
      <c r="D57" s="127" t="s">
        <v>99</v>
      </c>
      <c r="E57" s="127" t="s">
        <v>100</v>
      </c>
      <c r="F57" s="108"/>
      <c r="G57" s="108"/>
      <c r="H57" s="108"/>
      <c r="I57" s="115"/>
      <c r="J57" s="127" t="s">
        <v>101</v>
      </c>
      <c r="K57" s="108"/>
      <c r="L57" s="108"/>
      <c r="M57" s="108"/>
      <c r="N57" s="108"/>
      <c r="O57" s="115"/>
      <c r="P57" s="127" t="s">
        <v>102</v>
      </c>
      <c r="Q57" s="115"/>
      <c r="R57" s="115"/>
      <c r="S57" s="115"/>
      <c r="T57" s="115"/>
      <c r="U57" s="115"/>
      <c r="V57" s="127" t="s">
        <v>101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28"/>
      <c r="D58" s="134">
        <v>72.459999999999994</v>
      </c>
      <c r="E58" s="134">
        <v>71.03</v>
      </c>
      <c r="F58" s="108"/>
      <c r="G58" s="108"/>
      <c r="H58" s="108"/>
      <c r="I58" s="115"/>
      <c r="J58" s="134">
        <v>70</v>
      </c>
      <c r="K58" s="108"/>
      <c r="L58" s="108"/>
      <c r="M58" s="108"/>
      <c r="N58" s="108"/>
      <c r="O58" s="115"/>
      <c r="P58" s="134">
        <v>68.84</v>
      </c>
      <c r="Q58" s="115"/>
      <c r="R58" s="115"/>
      <c r="S58" s="115"/>
      <c r="T58" s="115"/>
      <c r="U58" s="115"/>
      <c r="V58" s="134">
        <v>71</v>
      </c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23"/>
      <c r="C59" s="106"/>
      <c r="D59" s="108"/>
      <c r="E59" s="108"/>
      <c r="F59" s="108"/>
      <c r="G59" s="108"/>
      <c r="H59" s="108"/>
      <c r="I59" s="115"/>
      <c r="J59" s="108"/>
      <c r="K59" s="108"/>
      <c r="L59" s="108"/>
      <c r="M59" s="108"/>
      <c r="N59" s="108"/>
      <c r="O59" s="115"/>
      <c r="P59" s="115"/>
      <c r="Q59" s="115"/>
      <c r="R59" s="115"/>
      <c r="S59" s="115"/>
      <c r="T59" s="115"/>
      <c r="U59" s="115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5">
      <c r="A60" s="1"/>
      <c r="B60" s="135" t="s">
        <v>103</v>
      </c>
      <c r="C60" s="136"/>
      <c r="D60" s="931"/>
      <c r="E60" s="931"/>
      <c r="F60" s="931"/>
      <c r="G60" s="931"/>
      <c r="H60" s="931"/>
      <c r="I60" s="931"/>
      <c r="J60" s="931"/>
      <c r="K60" s="931"/>
      <c r="L60" s="931"/>
      <c r="M60" s="931"/>
      <c r="N60" s="931"/>
      <c r="O60" s="931"/>
      <c r="P60" s="931"/>
      <c r="Q60" s="931"/>
      <c r="R60" s="931"/>
      <c r="S60" s="931"/>
      <c r="T60" s="931"/>
      <c r="U60" s="931"/>
      <c r="V60" s="137"/>
      <c r="W60" s="137"/>
      <c r="X60" s="137"/>
      <c r="Y60" s="137"/>
      <c r="Z60" s="137"/>
      <c r="AA60" s="137"/>
      <c r="AB60" s="138"/>
      <c r="AC60" s="3"/>
      <c r="AD60" s="3"/>
    </row>
    <row r="61" spans="1:30" x14ac:dyDescent="0.25">
      <c r="A61" s="1"/>
      <c r="B61" s="139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40"/>
      <c r="AC61" s="3"/>
      <c r="AD61" s="3"/>
    </row>
    <row r="62" spans="1:30" x14ac:dyDescent="0.25">
      <c r="A62" s="1"/>
      <c r="B62" s="925"/>
      <c r="C62" s="921"/>
      <c r="D62" s="921"/>
      <c r="E62" s="921"/>
      <c r="F62" s="921"/>
      <c r="G62" s="921"/>
      <c r="H62" s="921"/>
      <c r="I62" s="921"/>
      <c r="J62" s="921"/>
      <c r="K62" s="921"/>
      <c r="L62" s="921"/>
      <c r="M62" s="921"/>
      <c r="N62" s="921"/>
      <c r="O62" s="921"/>
      <c r="P62" s="921"/>
      <c r="Q62" s="921"/>
      <c r="R62" s="921"/>
      <c r="S62" s="921"/>
      <c r="T62" s="921"/>
      <c r="U62" s="921"/>
      <c r="V62" s="110"/>
      <c r="W62" s="110"/>
      <c r="X62" s="110"/>
      <c r="Y62" s="110"/>
      <c r="Z62" s="110"/>
      <c r="AA62" s="110"/>
      <c r="AB62" s="140"/>
      <c r="AC62" s="3"/>
      <c r="AD62" s="3"/>
    </row>
    <row r="63" spans="1:30" x14ac:dyDescent="0.25">
      <c r="A63" s="1"/>
      <c r="B63" s="925"/>
      <c r="C63" s="921"/>
      <c r="D63" s="921"/>
      <c r="E63" s="921"/>
      <c r="F63" s="921"/>
      <c r="G63" s="921"/>
      <c r="H63" s="921"/>
      <c r="I63" s="921"/>
      <c r="J63" s="921"/>
      <c r="K63" s="921"/>
      <c r="L63" s="921"/>
      <c r="M63" s="921"/>
      <c r="N63" s="921"/>
      <c r="O63" s="921"/>
      <c r="P63" s="921"/>
      <c r="Q63" s="921"/>
      <c r="R63" s="921"/>
      <c r="S63" s="921"/>
      <c r="T63" s="921"/>
      <c r="U63" s="921"/>
      <c r="V63" s="110"/>
      <c r="W63" s="110"/>
      <c r="X63" s="110"/>
      <c r="Y63" s="110"/>
      <c r="Z63" s="110"/>
      <c r="AA63" s="110"/>
      <c r="AB63" s="140"/>
      <c r="AC63" s="3"/>
      <c r="AD63" s="3"/>
    </row>
    <row r="64" spans="1:30" x14ac:dyDescent="0.25">
      <c r="A64" s="1"/>
      <c r="B64" s="925"/>
      <c r="C64" s="921"/>
      <c r="D64" s="921"/>
      <c r="E64" s="921"/>
      <c r="F64" s="921"/>
      <c r="G64" s="921"/>
      <c r="H64" s="921"/>
      <c r="I64" s="921"/>
      <c r="J64" s="921"/>
      <c r="K64" s="921"/>
      <c r="L64" s="921"/>
      <c r="M64" s="921"/>
      <c r="N64" s="921"/>
      <c r="O64" s="921"/>
      <c r="P64" s="921"/>
      <c r="Q64" s="921"/>
      <c r="R64" s="921"/>
      <c r="S64" s="921"/>
      <c r="T64" s="921"/>
      <c r="U64" s="921"/>
      <c r="V64" s="110"/>
      <c r="W64" s="110"/>
      <c r="X64" s="110"/>
      <c r="Y64" s="110"/>
      <c r="Z64" s="110"/>
      <c r="AA64" s="110"/>
      <c r="AB64" s="140"/>
      <c r="AC64" s="3"/>
      <c r="AD64" s="3"/>
    </row>
    <row r="65" spans="1:30" x14ac:dyDescent="0.25">
      <c r="A65" s="1"/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10"/>
      <c r="W65" s="110"/>
      <c r="X65" s="110"/>
      <c r="Y65" s="110"/>
      <c r="Z65" s="110"/>
      <c r="AA65" s="110"/>
      <c r="AB65" s="140"/>
      <c r="AC65" s="3"/>
      <c r="AD65" s="3"/>
    </row>
    <row r="66" spans="1:30" x14ac:dyDescent="0.25">
      <c r="A66" s="1"/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10"/>
      <c r="W66" s="110"/>
      <c r="X66" s="110"/>
      <c r="Y66" s="110"/>
      <c r="Z66" s="110"/>
      <c r="AA66" s="110"/>
      <c r="AB66" s="140"/>
      <c r="AC66" s="3"/>
      <c r="AD66" s="3"/>
    </row>
    <row r="67" spans="1:30" x14ac:dyDescent="0.25">
      <c r="A67" s="1"/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10"/>
      <c r="W67" s="110"/>
      <c r="X67" s="110"/>
      <c r="Y67" s="110"/>
      <c r="Z67" s="110"/>
      <c r="AA67" s="110"/>
      <c r="AB67" s="140"/>
      <c r="AC67" s="3"/>
      <c r="AD67" s="3"/>
    </row>
    <row r="68" spans="1:30" x14ac:dyDescent="0.25">
      <c r="A68" s="1"/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10"/>
      <c r="W68" s="110"/>
      <c r="X68" s="110"/>
      <c r="Y68" s="110"/>
      <c r="Z68" s="110"/>
      <c r="AA68" s="110"/>
      <c r="AB68" s="140"/>
      <c r="AC68" s="3"/>
      <c r="AD68" s="3"/>
    </row>
    <row r="69" spans="1:30" x14ac:dyDescent="0.25">
      <c r="A69" s="1"/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10"/>
      <c r="W69" s="110"/>
      <c r="X69" s="110"/>
      <c r="Y69" s="110"/>
      <c r="Z69" s="110"/>
      <c r="AA69" s="110"/>
      <c r="AB69" s="140"/>
      <c r="AC69" s="3"/>
      <c r="AD69" s="3"/>
    </row>
    <row r="70" spans="1:30" x14ac:dyDescent="0.25">
      <c r="A70" s="1"/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10"/>
      <c r="W70" s="110"/>
      <c r="X70" s="110"/>
      <c r="Y70" s="110"/>
      <c r="Z70" s="110"/>
      <c r="AA70" s="110"/>
      <c r="AB70" s="140"/>
      <c r="AC70" s="3"/>
      <c r="AD70" s="3"/>
    </row>
    <row r="71" spans="1:30" x14ac:dyDescent="0.25">
      <c r="A71" s="1"/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10"/>
      <c r="W71" s="110"/>
      <c r="X71" s="110"/>
      <c r="Y71" s="110"/>
      <c r="Z71" s="110"/>
      <c r="AA71" s="110"/>
      <c r="AB71" s="140"/>
      <c r="AC71" s="3"/>
      <c r="AD71" s="3"/>
    </row>
    <row r="72" spans="1:30" x14ac:dyDescent="0.25">
      <c r="A72" s="1"/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10"/>
      <c r="W72" s="110"/>
      <c r="X72" s="110"/>
      <c r="Y72" s="110"/>
      <c r="Z72" s="110"/>
      <c r="AA72" s="110"/>
      <c r="AB72" s="140"/>
      <c r="AC72" s="3"/>
      <c r="AD72" s="3"/>
    </row>
    <row r="73" spans="1:30" x14ac:dyDescent="0.25">
      <c r="A73" s="1"/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10"/>
      <c r="W73" s="110"/>
      <c r="X73" s="110"/>
      <c r="Y73" s="110"/>
      <c r="Z73" s="110"/>
      <c r="AA73" s="110"/>
      <c r="AB73" s="140"/>
      <c r="AC73" s="3"/>
      <c r="AD73" s="3"/>
    </row>
    <row r="74" spans="1:30" x14ac:dyDescent="0.25">
      <c r="A74" s="1"/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10"/>
      <c r="W74" s="110"/>
      <c r="X74" s="110"/>
      <c r="Y74" s="110"/>
      <c r="Z74" s="110"/>
      <c r="AA74" s="110"/>
      <c r="AB74" s="140"/>
      <c r="AC74" s="3"/>
      <c r="AD74" s="3"/>
    </row>
    <row r="75" spans="1:30" x14ac:dyDescent="0.25">
      <c r="A75" s="1"/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10"/>
      <c r="W75" s="110"/>
      <c r="X75" s="110"/>
      <c r="Y75" s="110"/>
      <c r="Z75" s="110"/>
      <c r="AA75" s="110"/>
      <c r="AB75" s="140"/>
      <c r="AC75" s="3"/>
      <c r="AD75" s="3"/>
    </row>
    <row r="76" spans="1:30" x14ac:dyDescent="0.25">
      <c r="A76" s="1"/>
      <c r="B76" s="14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10"/>
      <c r="W76" s="110"/>
      <c r="X76" s="110"/>
      <c r="Y76" s="110"/>
      <c r="Z76" s="110"/>
      <c r="AA76" s="110"/>
      <c r="AB76" s="140"/>
      <c r="AC76" s="3"/>
      <c r="AD76" s="3"/>
    </row>
    <row r="77" spans="1:30" x14ac:dyDescent="0.25">
      <c r="A77" s="1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10"/>
      <c r="W77" s="110"/>
      <c r="X77" s="110"/>
      <c r="Y77" s="110"/>
      <c r="Z77" s="110"/>
      <c r="AA77" s="110"/>
      <c r="AB77" s="140"/>
      <c r="AC77" s="3"/>
      <c r="AD77" s="3"/>
    </row>
    <row r="78" spans="1:30" x14ac:dyDescent="0.25">
      <c r="A78" s="1"/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10"/>
      <c r="W78" s="110"/>
      <c r="X78" s="110"/>
      <c r="Y78" s="110"/>
      <c r="Z78" s="110"/>
      <c r="AA78" s="110"/>
      <c r="AB78" s="140"/>
      <c r="AC78" s="3"/>
      <c r="AD78" s="3"/>
    </row>
    <row r="79" spans="1:30" x14ac:dyDescent="0.25">
      <c r="A79" s="1"/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10"/>
      <c r="W79" s="110"/>
      <c r="X79" s="110"/>
      <c r="Y79" s="110"/>
      <c r="Z79" s="110"/>
      <c r="AA79" s="110"/>
      <c r="AB79" s="140"/>
      <c r="AC79" s="3"/>
      <c r="AD79" s="3"/>
    </row>
    <row r="80" spans="1:30" x14ac:dyDescent="0.25">
      <c r="A80" s="1"/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10"/>
      <c r="W80" s="110"/>
      <c r="X80" s="110"/>
      <c r="Y80" s="110"/>
      <c r="Z80" s="110"/>
      <c r="AA80" s="110"/>
      <c r="AB80" s="140"/>
      <c r="AC80" s="3"/>
      <c r="AD80" s="3"/>
    </row>
    <row r="81" spans="1:30" x14ac:dyDescent="0.25">
      <c r="A81" s="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10"/>
      <c r="W81" s="110"/>
      <c r="X81" s="110"/>
      <c r="Y81" s="110"/>
      <c r="Z81" s="110"/>
      <c r="AA81" s="110"/>
      <c r="AB81" s="140"/>
      <c r="AC81" s="3"/>
      <c r="AD81" s="3"/>
    </row>
    <row r="82" spans="1:30" x14ac:dyDescent="0.25">
      <c r="A82" s="1"/>
      <c r="B82" s="141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10"/>
      <c r="W82" s="110"/>
      <c r="X82" s="110"/>
      <c r="Y82" s="110"/>
      <c r="Z82" s="110"/>
      <c r="AA82" s="110"/>
      <c r="AB82" s="140"/>
      <c r="AC82" s="3"/>
      <c r="AD82" s="3"/>
    </row>
    <row r="83" spans="1:30" x14ac:dyDescent="0.25">
      <c r="A83" s="1"/>
      <c r="B83" s="925"/>
      <c r="C83" s="921"/>
      <c r="D83" s="921"/>
      <c r="E83" s="921"/>
      <c r="F83" s="921"/>
      <c r="G83" s="921"/>
      <c r="H83" s="921"/>
      <c r="I83" s="921"/>
      <c r="J83" s="921"/>
      <c r="K83" s="921"/>
      <c r="L83" s="921"/>
      <c r="M83" s="921"/>
      <c r="N83" s="921"/>
      <c r="O83" s="921"/>
      <c r="P83" s="921"/>
      <c r="Q83" s="921"/>
      <c r="R83" s="921"/>
      <c r="S83" s="921"/>
      <c r="T83" s="921"/>
      <c r="U83" s="921"/>
      <c r="V83" s="110"/>
      <c r="W83" s="110"/>
      <c r="X83" s="110"/>
      <c r="Y83" s="110"/>
      <c r="Z83" s="110"/>
      <c r="AA83" s="110"/>
      <c r="AB83" s="140"/>
      <c r="AC83" s="3"/>
      <c r="AD83" s="3"/>
    </row>
    <row r="84" spans="1:30" x14ac:dyDescent="0.25">
      <c r="A84" s="1"/>
      <c r="B84" s="143"/>
      <c r="C84" s="162"/>
      <c r="D84" s="162"/>
      <c r="E84" s="16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10"/>
      <c r="W84" s="110"/>
      <c r="X84" s="110"/>
      <c r="Y84" s="110"/>
      <c r="Z84" s="110"/>
      <c r="AA84" s="110"/>
      <c r="AB84" s="140"/>
      <c r="AC84" s="3"/>
      <c r="AD84" s="3"/>
    </row>
    <row r="85" spans="1:30" x14ac:dyDescent="0.25">
      <c r="A85" s="1"/>
      <c r="B85" s="161"/>
      <c r="C85" s="160"/>
      <c r="D85" s="145"/>
      <c r="E85" s="145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10"/>
      <c r="W85" s="110"/>
      <c r="X85" s="110"/>
      <c r="Y85" s="110"/>
      <c r="Z85" s="110"/>
      <c r="AA85" s="110"/>
      <c r="AB85" s="140"/>
      <c r="AC85" s="3"/>
      <c r="AD85" s="3"/>
    </row>
    <row r="86" spans="1:30" x14ac:dyDescent="0.25">
      <c r="A86" s="1"/>
      <c r="B86" s="143"/>
      <c r="C86" s="144"/>
      <c r="D86" s="145"/>
      <c r="E86" s="145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10"/>
      <c r="W86" s="110"/>
      <c r="X86" s="110"/>
      <c r="Y86" s="110"/>
      <c r="Z86" s="110"/>
      <c r="AA86" s="110"/>
      <c r="AB86" s="140"/>
      <c r="AC86" s="3"/>
      <c r="AD86" s="3"/>
    </row>
    <row r="87" spans="1:30" x14ac:dyDescent="0.25">
      <c r="A87" s="1"/>
      <c r="B87" s="143"/>
      <c r="C87" s="144"/>
      <c r="D87" s="145"/>
      <c r="E87" s="145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10"/>
      <c r="W87" s="110"/>
      <c r="X87" s="110"/>
      <c r="Y87" s="110"/>
      <c r="Z87" s="110"/>
      <c r="AA87" s="110"/>
      <c r="AB87" s="140"/>
      <c r="AC87" s="3"/>
      <c r="AD87" s="3"/>
    </row>
    <row r="88" spans="1:30" x14ac:dyDescent="0.25">
      <c r="A88" s="1"/>
      <c r="B88" s="146"/>
      <c r="C88" s="147"/>
      <c r="D88" s="148"/>
      <c r="E88" s="148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50"/>
      <c r="W88" s="150"/>
      <c r="X88" s="150"/>
      <c r="Y88" s="150"/>
      <c r="Z88" s="150"/>
      <c r="AA88" s="150"/>
      <c r="AB88" s="151"/>
      <c r="AC88" s="3"/>
      <c r="AD88" s="3"/>
    </row>
    <row r="89" spans="1:30" x14ac:dyDescent="0.25">
      <c r="A89" s="104"/>
      <c r="B89" s="152"/>
      <c r="C89" s="153"/>
      <c r="D89" s="152"/>
      <c r="E89" s="152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04"/>
      <c r="B90" s="152"/>
      <c r="C90" s="153"/>
      <c r="D90" s="152"/>
      <c r="E90" s="152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1"/>
      <c r="B92" s="155" t="s">
        <v>109</v>
      </c>
      <c r="C92" s="156">
        <v>44855</v>
      </c>
      <c r="D92" s="155" t="s">
        <v>110</v>
      </c>
      <c r="E92" s="921" t="s">
        <v>221</v>
      </c>
      <c r="F92" s="921"/>
      <c r="G92" s="921"/>
      <c r="H92" s="155"/>
      <c r="I92" s="155" t="s">
        <v>112</v>
      </c>
      <c r="J92" s="922" t="s">
        <v>222</v>
      </c>
      <c r="K92" s="922"/>
      <c r="L92" s="922"/>
      <c r="M92" s="922"/>
      <c r="N92" s="155"/>
      <c r="O92" s="155"/>
      <c r="P92" s="155"/>
      <c r="Q92" s="155"/>
      <c r="R92" s="155"/>
      <c r="S92" s="155"/>
      <c r="T92" s="155"/>
      <c r="U92" s="155"/>
      <c r="V92" s="3"/>
      <c r="W92" s="3"/>
      <c r="X92" s="3"/>
      <c r="Y92" s="3"/>
      <c r="Z92" s="3"/>
      <c r="AA92" s="3"/>
      <c r="AB92" s="3"/>
      <c r="AC92" s="3"/>
      <c r="AD92" s="3"/>
    </row>
    <row r="93" spans="1:30" ht="7.5" customHeight="1" x14ac:dyDescent="0.25">
      <c r="A93" s="1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5"/>
      <c r="C94" s="155"/>
      <c r="D94" s="155" t="s">
        <v>114</v>
      </c>
      <c r="E94" s="157"/>
      <c r="F94" s="157"/>
      <c r="G94" s="157"/>
      <c r="H94" s="155"/>
      <c r="I94" s="155" t="s">
        <v>114</v>
      </c>
      <c r="J94" s="158"/>
      <c r="K94" s="158"/>
      <c r="L94" s="158"/>
      <c r="M94" s="158"/>
      <c r="N94" s="155"/>
      <c r="O94" s="155"/>
      <c r="P94" s="155"/>
      <c r="Q94" s="155"/>
      <c r="R94" s="155"/>
      <c r="S94" s="155"/>
      <c r="T94" s="155"/>
      <c r="U94" s="155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5"/>
      <c r="C95" s="155"/>
      <c r="D95" s="155"/>
      <c r="E95" s="157"/>
      <c r="F95" s="157"/>
      <c r="G95" s="157"/>
      <c r="H95" s="155"/>
      <c r="I95" s="155"/>
      <c r="J95" s="158"/>
      <c r="K95" s="158"/>
      <c r="L95" s="158"/>
      <c r="M95" s="158"/>
      <c r="N95" s="155"/>
      <c r="O95" s="155"/>
      <c r="P95" s="155"/>
      <c r="Q95" s="155"/>
      <c r="R95" s="155"/>
      <c r="S95" s="155"/>
      <c r="T95" s="155"/>
      <c r="U95" s="155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5">
      <c r="A97" s="1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3"/>
      <c r="W97" s="3"/>
      <c r="X97" s="3"/>
      <c r="Y97" s="3"/>
      <c r="Z97" s="3"/>
      <c r="AA97" s="3"/>
      <c r="AB97" s="3"/>
      <c r="AC97" s="3"/>
      <c r="AD97" s="3"/>
    </row>
    <row r="98" spans="1:30" hidden="1" x14ac:dyDescent="0.25">
      <c r="AC98" s="4"/>
      <c r="AD98" s="4"/>
    </row>
    <row r="110" spans="1:30" x14ac:dyDescent="0.25"/>
    <row r="111" spans="1:30" x14ac:dyDescent="0.25"/>
    <row r="112" spans="1:30" x14ac:dyDescent="0.25"/>
    <row r="113" x14ac:dyDescent="0.25"/>
    <row r="114" ht="15" hidden="1" customHeight="1" x14ac:dyDescent="0.25"/>
    <row r="126" x14ac:dyDescent="0.25"/>
    <row r="127" x14ac:dyDescent="0.25"/>
    <row r="128" ht="15" hidden="1" customHeight="1" x14ac:dyDescent="0.25"/>
    <row r="129" ht="15" hidden="1" customHeight="1" x14ac:dyDescent="0.25"/>
    <row r="130" x14ac:dyDescent="0.25"/>
    <row r="131" x14ac:dyDescent="0.25"/>
    <row r="132" x14ac:dyDescent="0.25"/>
    <row r="133" x14ac:dyDescent="0.25"/>
    <row r="134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2:U62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60:U60"/>
    <mergeCell ref="V26:X26"/>
    <mergeCell ref="Y26:Y27"/>
    <mergeCell ref="B63:U63"/>
    <mergeCell ref="B64:U64"/>
    <mergeCell ref="B83:U83"/>
    <mergeCell ref="E92:G92"/>
    <mergeCell ref="J92:M92"/>
  </mergeCells>
  <conditionalFormatting sqref="AB15:AB25">
    <cfRule type="cellIs" dxfId="31" priority="3" operator="equal">
      <formula>0</formula>
    </cfRule>
    <cfRule type="containsErrors" dxfId="30" priority="4">
      <formula>ISERROR(AB15)</formula>
    </cfRule>
  </conditionalFormatting>
  <conditionalFormatting sqref="AB28:AB41">
    <cfRule type="cellIs" dxfId="29" priority="1" operator="equal">
      <formula>0</formula>
    </cfRule>
    <cfRule type="containsErrors" dxfId="28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view="pageBreakPreview" zoomScale="70" zoomScaleNormal="80" zoomScaleSheetLayoutView="70" workbookViewId="0">
      <selection activeCell="C91" sqref="C9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59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223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46789758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82" t="s">
        <v>224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9</v>
      </c>
      <c r="K10" s="883"/>
      <c r="L10" s="883"/>
      <c r="M10" s="883"/>
      <c r="N10" s="883"/>
      <c r="O10" s="884"/>
      <c r="P10" s="882" t="s">
        <v>10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890"/>
      <c r="H14" s="892"/>
      <c r="I14" s="912"/>
      <c r="J14" s="11" t="s">
        <v>20</v>
      </c>
      <c r="K14" s="12" t="s">
        <v>21</v>
      </c>
      <c r="L14" s="12" t="s">
        <v>22</v>
      </c>
      <c r="M14" s="890"/>
      <c r="N14" s="892"/>
      <c r="O14" s="912"/>
      <c r="P14" s="11" t="s">
        <v>20</v>
      </c>
      <c r="Q14" s="12" t="s">
        <v>21</v>
      </c>
      <c r="R14" s="12" t="s">
        <v>22</v>
      </c>
      <c r="S14" s="890"/>
      <c r="T14" s="892"/>
      <c r="U14" s="912"/>
      <c r="V14" s="11" t="s">
        <v>20</v>
      </c>
      <c r="W14" s="12" t="s">
        <v>21</v>
      </c>
      <c r="X14" s="12" t="s">
        <v>22</v>
      </c>
      <c r="Y14" s="890"/>
      <c r="Z14" s="892"/>
      <c r="AA14" s="912"/>
      <c r="AB14" s="902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1276</v>
      </c>
      <c r="G15" s="18">
        <f>SUM(D15:F15)</f>
        <v>1276</v>
      </c>
      <c r="H15" s="19">
        <v>0</v>
      </c>
      <c r="I15" s="20">
        <f>G15+H15</f>
        <v>1276</v>
      </c>
      <c r="J15" s="15"/>
      <c r="K15" s="16"/>
      <c r="L15" s="17">
        <v>2400</v>
      </c>
      <c r="M15" s="18">
        <f t="shared" ref="M15:M23" si="0">SUM(J15:L15)</f>
        <v>2400</v>
      </c>
      <c r="N15" s="19">
        <v>0</v>
      </c>
      <c r="O15" s="20">
        <f>M15+N15</f>
        <v>2400</v>
      </c>
      <c r="P15" s="15"/>
      <c r="Q15" s="16"/>
      <c r="R15" s="17">
        <v>1444.9</v>
      </c>
      <c r="S15" s="18">
        <f>SUM(P15:R15)</f>
        <v>1444.9</v>
      </c>
      <c r="T15" s="19">
        <v>0</v>
      </c>
      <c r="U15" s="20">
        <f>S15+T15</f>
        <v>1444.9</v>
      </c>
      <c r="V15" s="15"/>
      <c r="W15" s="16"/>
      <c r="X15" s="17">
        <v>2600</v>
      </c>
      <c r="Y15" s="18">
        <f>SUM(V15:X15)</f>
        <v>2600</v>
      </c>
      <c r="Z15" s="19">
        <v>0</v>
      </c>
      <c r="AA15" s="20">
        <f>Y15+Z15</f>
        <v>2600</v>
      </c>
      <c r="AB15" s="21">
        <f>(AA15/O15)</f>
        <v>1.0833333333333333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3959.4</v>
      </c>
      <c r="E16" s="25"/>
      <c r="F16" s="25"/>
      <c r="G16" s="26">
        <f t="shared" ref="G16:G23" si="1">SUM(D16:F16)</f>
        <v>3959.4</v>
      </c>
      <c r="H16" s="27"/>
      <c r="I16" s="20">
        <f t="shared" ref="I16:I23" si="2">G16+H16</f>
        <v>3959.4</v>
      </c>
      <c r="J16" s="24">
        <v>4473.7</v>
      </c>
      <c r="K16" s="25"/>
      <c r="L16" s="25"/>
      <c r="M16" s="26">
        <f t="shared" si="0"/>
        <v>4473.7</v>
      </c>
      <c r="N16" s="27"/>
      <c r="O16" s="20">
        <f t="shared" ref="O16:O20" si="3">M16+N16</f>
        <v>4473.7</v>
      </c>
      <c r="P16" s="24">
        <v>2238.6999999999998</v>
      </c>
      <c r="Q16" s="25"/>
      <c r="R16" s="25"/>
      <c r="S16" s="26">
        <f t="shared" ref="S16:S23" si="4">SUM(P16:R16)</f>
        <v>2238.6999999999998</v>
      </c>
      <c r="T16" s="27"/>
      <c r="U16" s="20">
        <f t="shared" ref="U16:U20" si="5">S16+T16</f>
        <v>2238.6999999999998</v>
      </c>
      <c r="V16" s="24">
        <v>5201.6000000000004</v>
      </c>
      <c r="W16" s="25"/>
      <c r="X16" s="25"/>
      <c r="Y16" s="26">
        <f t="shared" ref="Y16:Y23" si="6">SUM(V16:X16)</f>
        <v>5201.6000000000004</v>
      </c>
      <c r="Z16" s="27"/>
      <c r="AA16" s="20">
        <f t="shared" ref="AA16:AA20" si="7">Y16+Z16</f>
        <v>5201.6000000000004</v>
      </c>
      <c r="AB16" s="21">
        <f t="shared" ref="AB16:AB24" si="8">(AA16/O16)</f>
        <v>1.1627064845653488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372.5</v>
      </c>
      <c r="E17" s="30"/>
      <c r="F17" s="30"/>
      <c r="G17" s="26">
        <f t="shared" si="1"/>
        <v>372.5</v>
      </c>
      <c r="H17" s="31"/>
      <c r="I17" s="20">
        <f t="shared" si="2"/>
        <v>372.5</v>
      </c>
      <c r="J17" s="29">
        <v>1934.7</v>
      </c>
      <c r="K17" s="30"/>
      <c r="L17" s="30"/>
      <c r="M17" s="26">
        <f t="shared" si="0"/>
        <v>1934.7</v>
      </c>
      <c r="N17" s="31"/>
      <c r="O17" s="20">
        <f t="shared" si="3"/>
        <v>1934.7</v>
      </c>
      <c r="P17" s="29">
        <v>267.5</v>
      </c>
      <c r="Q17" s="30"/>
      <c r="R17" s="30"/>
      <c r="S17" s="26">
        <f t="shared" si="4"/>
        <v>267.5</v>
      </c>
      <c r="T17" s="31"/>
      <c r="U17" s="20">
        <f t="shared" si="5"/>
        <v>267.5</v>
      </c>
      <c r="V17" s="29">
        <v>259.10000000000002</v>
      </c>
      <c r="W17" s="30"/>
      <c r="X17" s="30"/>
      <c r="Y17" s="26">
        <f t="shared" si="6"/>
        <v>259.10000000000002</v>
      </c>
      <c r="Z17" s="31"/>
      <c r="AA17" s="20">
        <f t="shared" si="7"/>
        <v>259.10000000000002</v>
      </c>
      <c r="AB17" s="21">
        <f t="shared" si="8"/>
        <v>0.13392257197498322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39152</v>
      </c>
      <c r="F18" s="30"/>
      <c r="G18" s="26">
        <f t="shared" si="1"/>
        <v>39152</v>
      </c>
      <c r="H18" s="19"/>
      <c r="I18" s="20">
        <f t="shared" si="2"/>
        <v>39152</v>
      </c>
      <c r="J18" s="33"/>
      <c r="K18" s="34">
        <v>40535.800000000003</v>
      </c>
      <c r="L18" s="30"/>
      <c r="M18" s="26">
        <f t="shared" si="0"/>
        <v>40535.800000000003</v>
      </c>
      <c r="N18" s="19"/>
      <c r="O18" s="20">
        <f t="shared" si="3"/>
        <v>40535.800000000003</v>
      </c>
      <c r="P18" s="33"/>
      <c r="Q18" s="34">
        <v>20428.7</v>
      </c>
      <c r="R18" s="30"/>
      <c r="S18" s="26">
        <f t="shared" si="4"/>
        <v>20428.7</v>
      </c>
      <c r="T18" s="19"/>
      <c r="U18" s="20">
        <f t="shared" si="5"/>
        <v>20428.7</v>
      </c>
      <c r="V18" s="33"/>
      <c r="W18" s="34">
        <v>44589.3</v>
      </c>
      <c r="X18" s="30"/>
      <c r="Y18" s="26">
        <f t="shared" si="6"/>
        <v>44589.3</v>
      </c>
      <c r="Z18" s="19"/>
      <c r="AA18" s="20">
        <f t="shared" si="7"/>
        <v>44589.3</v>
      </c>
      <c r="AB18" s="21">
        <f t="shared" si="8"/>
        <v>1.0999980264358913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>
        <v>900.4</v>
      </c>
      <c r="E19" s="30"/>
      <c r="F19" s="37"/>
      <c r="G19" s="26">
        <f t="shared" si="1"/>
        <v>900.4</v>
      </c>
      <c r="H19" s="38"/>
      <c r="I19" s="20">
        <f t="shared" si="2"/>
        <v>900.4</v>
      </c>
      <c r="J19" s="36">
        <v>900.4</v>
      </c>
      <c r="K19" s="30"/>
      <c r="L19" s="37"/>
      <c r="M19" s="26">
        <f t="shared" si="0"/>
        <v>900.4</v>
      </c>
      <c r="N19" s="38"/>
      <c r="O19" s="20">
        <f t="shared" si="3"/>
        <v>900.4</v>
      </c>
      <c r="P19" s="36">
        <v>450.2</v>
      </c>
      <c r="Q19" s="30"/>
      <c r="R19" s="37"/>
      <c r="S19" s="26">
        <f t="shared" si="4"/>
        <v>450.2</v>
      </c>
      <c r="T19" s="38"/>
      <c r="U19" s="20">
        <f t="shared" si="5"/>
        <v>450.2</v>
      </c>
      <c r="V19" s="36">
        <v>900.4</v>
      </c>
      <c r="W19" s="30"/>
      <c r="X19" s="37"/>
      <c r="Y19" s="26">
        <f t="shared" si="6"/>
        <v>900.4</v>
      </c>
      <c r="Z19" s="38"/>
      <c r="AA19" s="20">
        <f t="shared" si="7"/>
        <v>900.4</v>
      </c>
      <c r="AB19" s="21">
        <f t="shared" si="8"/>
        <v>1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699" t="s">
        <v>132</v>
      </c>
      <c r="E20" s="25"/>
      <c r="F20" s="40">
        <v>620.4</v>
      </c>
      <c r="G20" s="26"/>
      <c r="H20" s="38"/>
      <c r="I20" s="20">
        <v>620.4</v>
      </c>
      <c r="J20" s="33"/>
      <c r="K20" s="25"/>
      <c r="L20" s="40">
        <v>100</v>
      </c>
      <c r="M20" s="26">
        <f t="shared" si="0"/>
        <v>100</v>
      </c>
      <c r="N20" s="38"/>
      <c r="O20" s="20">
        <f t="shared" si="3"/>
        <v>100</v>
      </c>
      <c r="P20" s="33"/>
      <c r="Q20" s="25"/>
      <c r="R20" s="40">
        <v>77.099999999999994</v>
      </c>
      <c r="S20" s="26">
        <f t="shared" si="4"/>
        <v>77.099999999999994</v>
      </c>
      <c r="T20" s="38"/>
      <c r="U20" s="20">
        <f t="shared" si="5"/>
        <v>77.099999999999994</v>
      </c>
      <c r="V20" s="33"/>
      <c r="W20" s="25"/>
      <c r="X20" s="40">
        <v>100</v>
      </c>
      <c r="Y20" s="26">
        <f t="shared" si="6"/>
        <v>100</v>
      </c>
      <c r="Z20" s="38"/>
      <c r="AA20" s="20">
        <f t="shared" si="7"/>
        <v>100</v>
      </c>
      <c r="AB20" s="21">
        <f t="shared" si="8"/>
        <v>1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699" t="s">
        <v>132</v>
      </c>
      <c r="E21" s="25"/>
      <c r="F21" s="454">
        <v>655.29999999999995</v>
      </c>
      <c r="G21" s="26">
        <f t="shared" si="1"/>
        <v>655.29999999999995</v>
      </c>
      <c r="H21" s="42">
        <v>213</v>
      </c>
      <c r="I21" s="20">
        <f>G21+H21</f>
        <v>868.3</v>
      </c>
      <c r="J21" s="33"/>
      <c r="K21" s="25"/>
      <c r="L21" s="40"/>
      <c r="M21" s="26">
        <f t="shared" si="0"/>
        <v>0</v>
      </c>
      <c r="N21" s="42">
        <v>280</v>
      </c>
      <c r="O21" s="20">
        <f>M21+N21</f>
        <v>280</v>
      </c>
      <c r="P21" s="33"/>
      <c r="Q21" s="25"/>
      <c r="R21" s="40">
        <v>331.6</v>
      </c>
      <c r="S21" s="26">
        <f t="shared" si="4"/>
        <v>331.6</v>
      </c>
      <c r="T21" s="42">
        <v>211.9</v>
      </c>
      <c r="U21" s="20">
        <f>S21+T21</f>
        <v>543.5</v>
      </c>
      <c r="V21" s="33"/>
      <c r="W21" s="25">
        <v>1000</v>
      </c>
      <c r="X21" s="40"/>
      <c r="Y21" s="26">
        <f t="shared" si="6"/>
        <v>1000</v>
      </c>
      <c r="Z21" s="42">
        <v>350</v>
      </c>
      <c r="AA21" s="20">
        <f>Y21+Z21</f>
        <v>1350</v>
      </c>
      <c r="AB21" s="21">
        <f t="shared" si="8"/>
        <v>4.8214285714285712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>
        <v>213</v>
      </c>
      <c r="I22" s="20">
        <f t="shared" si="2"/>
        <v>213</v>
      </c>
      <c r="J22" s="33"/>
      <c r="K22" s="25"/>
      <c r="L22" s="40"/>
      <c r="M22" s="26">
        <f t="shared" si="0"/>
        <v>0</v>
      </c>
      <c r="N22" s="42">
        <v>280</v>
      </c>
      <c r="O22" s="20">
        <f t="shared" ref="O22:O23" si="9">M22+N22</f>
        <v>280</v>
      </c>
      <c r="P22" s="33"/>
      <c r="Q22" s="25"/>
      <c r="R22" s="40"/>
      <c r="S22" s="26">
        <f t="shared" si="4"/>
        <v>0</v>
      </c>
      <c r="T22" s="42">
        <v>211.9</v>
      </c>
      <c r="U22" s="20">
        <f t="shared" ref="U22:U23" si="10">S22+T22</f>
        <v>211.9</v>
      </c>
      <c r="V22" s="33"/>
      <c r="W22" s="25"/>
      <c r="X22" s="40"/>
      <c r="Y22" s="26">
        <f t="shared" si="6"/>
        <v>0</v>
      </c>
      <c r="Z22" s="42">
        <v>350</v>
      </c>
      <c r="AA22" s="20">
        <f t="shared" ref="AA22:AA23" si="11">Y22+Z22</f>
        <v>350</v>
      </c>
      <c r="AB22" s="21">
        <f t="shared" si="8"/>
        <v>1.25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4"/>
        <v>0</v>
      </c>
      <c r="T23" s="49"/>
      <c r="U23" s="50">
        <f t="shared" si="10"/>
        <v>0</v>
      </c>
      <c r="V23" s="45"/>
      <c r="W23" s="700" t="s">
        <v>132</v>
      </c>
      <c r="X23" s="47"/>
      <c r="Y23" s="48">
        <f t="shared" si="6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5232.2999999999993</v>
      </c>
      <c r="E24" s="55">
        <f>SUM(E15:E21)</f>
        <v>39152</v>
      </c>
      <c r="F24" s="55">
        <f>SUM(F15:F21)</f>
        <v>2551.6999999999998</v>
      </c>
      <c r="G24" s="56">
        <f>SUM(D24:F24)</f>
        <v>46936</v>
      </c>
      <c r="H24" s="57">
        <f>SUM(H15:H21)</f>
        <v>213</v>
      </c>
      <c r="I24" s="57">
        <f>SUM(I15:I21)</f>
        <v>47149.000000000007</v>
      </c>
      <c r="J24" s="54">
        <f>SUM(J15:J21)</f>
        <v>7308.7999999999993</v>
      </c>
      <c r="K24" s="55">
        <f>SUM(K15:K21)</f>
        <v>40535.800000000003</v>
      </c>
      <c r="L24" s="55">
        <f>SUM(L15:L21)</f>
        <v>2500</v>
      </c>
      <c r="M24" s="56">
        <f>SUM(J24:L24)</f>
        <v>50344.600000000006</v>
      </c>
      <c r="N24" s="57">
        <f>SUM(N15:N21)</f>
        <v>280</v>
      </c>
      <c r="O24" s="57">
        <f>SUM(O15:O21)</f>
        <v>50624.600000000006</v>
      </c>
      <c r="P24" s="54">
        <f>SUM(P15:P21)</f>
        <v>2956.3999999999996</v>
      </c>
      <c r="Q24" s="55">
        <f>SUM(Q15:Q21)</f>
        <v>20428.7</v>
      </c>
      <c r="R24" s="55">
        <f>SUM(R15:R21)</f>
        <v>1853.6</v>
      </c>
      <c r="S24" s="56">
        <f>SUM(P24:R24)</f>
        <v>25238.699999999997</v>
      </c>
      <c r="T24" s="57">
        <f>SUM(T15:T21)</f>
        <v>211.9</v>
      </c>
      <c r="U24" s="57">
        <f>SUM(U15:U21)</f>
        <v>25450.6</v>
      </c>
      <c r="V24" s="54">
        <f>SUM(V15:V21)</f>
        <v>6361.1</v>
      </c>
      <c r="W24" s="55">
        <f>SUM(W15:W21)</f>
        <v>45589.3</v>
      </c>
      <c r="X24" s="55">
        <f>SUM(X15:X21)</f>
        <v>2700</v>
      </c>
      <c r="Y24" s="56">
        <f>SUM(V24:X24)</f>
        <v>54650.400000000001</v>
      </c>
      <c r="Z24" s="57">
        <f>SUM(Z15:Z21)</f>
        <v>350</v>
      </c>
      <c r="AA24" s="57">
        <f>SUM(AA15:AA21)</f>
        <v>55000.4</v>
      </c>
      <c r="AB24" s="58">
        <f t="shared" si="8"/>
        <v>1.0864362385085511</v>
      </c>
      <c r="AC24" s="3"/>
      <c r="AD24" s="3"/>
    </row>
    <row r="25" spans="1:30" ht="15.75" customHeight="1" thickBot="1" x14ac:dyDescent="0.3">
      <c r="A25" s="1"/>
      <c r="B25" s="59"/>
      <c r="C25" s="60"/>
      <c r="D25" s="885" t="s">
        <v>43</v>
      </c>
      <c r="E25" s="886"/>
      <c r="F25" s="886"/>
      <c r="G25" s="887"/>
      <c r="H25" s="887"/>
      <c r="I25" s="888"/>
      <c r="J25" s="885" t="s">
        <v>43</v>
      </c>
      <c r="K25" s="886"/>
      <c r="L25" s="886"/>
      <c r="M25" s="887"/>
      <c r="N25" s="887"/>
      <c r="O25" s="888"/>
      <c r="P25" s="885" t="s">
        <v>43</v>
      </c>
      <c r="Q25" s="886"/>
      <c r="R25" s="886"/>
      <c r="S25" s="887"/>
      <c r="T25" s="887"/>
      <c r="U25" s="888"/>
      <c r="V25" s="885" t="s">
        <v>43</v>
      </c>
      <c r="W25" s="886"/>
      <c r="X25" s="886"/>
      <c r="Y25" s="887"/>
      <c r="Z25" s="887"/>
      <c r="AA25" s="888"/>
      <c r="AB25" s="893" t="s">
        <v>12</v>
      </c>
      <c r="AC25" s="3"/>
      <c r="AD25" s="3"/>
    </row>
    <row r="26" spans="1:30" ht="15.75" thickBot="1" x14ac:dyDescent="0.3">
      <c r="A26" s="1"/>
      <c r="B26" s="932" t="s">
        <v>6</v>
      </c>
      <c r="C26" s="917" t="s">
        <v>7</v>
      </c>
      <c r="D26" s="896" t="s">
        <v>44</v>
      </c>
      <c r="E26" s="897"/>
      <c r="F26" s="897"/>
      <c r="G26" s="913" t="s">
        <v>45</v>
      </c>
      <c r="H26" s="915" t="s">
        <v>46</v>
      </c>
      <c r="I26" s="898" t="s">
        <v>43</v>
      </c>
      <c r="J26" s="896" t="s">
        <v>44</v>
      </c>
      <c r="K26" s="897"/>
      <c r="L26" s="897"/>
      <c r="M26" s="913" t="s">
        <v>45</v>
      </c>
      <c r="N26" s="915" t="s">
        <v>46</v>
      </c>
      <c r="O26" s="898" t="s">
        <v>43</v>
      </c>
      <c r="P26" s="896" t="s">
        <v>44</v>
      </c>
      <c r="Q26" s="897"/>
      <c r="R26" s="897"/>
      <c r="S26" s="913" t="s">
        <v>45</v>
      </c>
      <c r="T26" s="915" t="s">
        <v>46</v>
      </c>
      <c r="U26" s="898" t="s">
        <v>43</v>
      </c>
      <c r="V26" s="896" t="s">
        <v>44</v>
      </c>
      <c r="W26" s="897"/>
      <c r="X26" s="897"/>
      <c r="Y26" s="913" t="s">
        <v>45</v>
      </c>
      <c r="Z26" s="915" t="s">
        <v>46</v>
      </c>
      <c r="AA26" s="898" t="s">
        <v>43</v>
      </c>
      <c r="AB26" s="894"/>
      <c r="AC26" s="3"/>
      <c r="AD26" s="3"/>
    </row>
    <row r="27" spans="1:30" ht="15.75" thickBot="1" x14ac:dyDescent="0.3">
      <c r="A27" s="1"/>
      <c r="B27" s="933"/>
      <c r="C27" s="918"/>
      <c r="D27" s="61" t="s">
        <v>47</v>
      </c>
      <c r="E27" s="62" t="s">
        <v>48</v>
      </c>
      <c r="F27" s="63" t="s">
        <v>49</v>
      </c>
      <c r="G27" s="914"/>
      <c r="H27" s="916"/>
      <c r="I27" s="899"/>
      <c r="J27" s="61" t="s">
        <v>47</v>
      </c>
      <c r="K27" s="62" t="s">
        <v>48</v>
      </c>
      <c r="L27" s="63" t="s">
        <v>49</v>
      </c>
      <c r="M27" s="914"/>
      <c r="N27" s="916"/>
      <c r="O27" s="899"/>
      <c r="P27" s="61" t="s">
        <v>47</v>
      </c>
      <c r="Q27" s="62" t="s">
        <v>48</v>
      </c>
      <c r="R27" s="63" t="s">
        <v>49</v>
      </c>
      <c r="S27" s="914"/>
      <c r="T27" s="916"/>
      <c r="U27" s="899"/>
      <c r="V27" s="61" t="s">
        <v>47</v>
      </c>
      <c r="W27" s="62" t="s">
        <v>48</v>
      </c>
      <c r="X27" s="63" t="s">
        <v>49</v>
      </c>
      <c r="Y27" s="914"/>
      <c r="Z27" s="916"/>
      <c r="AA27" s="899"/>
      <c r="AB27" s="895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190.4</v>
      </c>
      <c r="E28" s="65"/>
      <c r="F28" s="65"/>
      <c r="G28" s="66">
        <f>SUM(D28:F28)</f>
        <v>190.4</v>
      </c>
      <c r="H28" s="66"/>
      <c r="I28" s="67">
        <f>G28+H28</f>
        <v>190.4</v>
      </c>
      <c r="J28" s="68">
        <v>360</v>
      </c>
      <c r="K28" s="65"/>
      <c r="L28" s="65"/>
      <c r="M28" s="66">
        <f>SUM(J28:L28)</f>
        <v>360</v>
      </c>
      <c r="N28" s="66"/>
      <c r="O28" s="67">
        <f>M28+N28</f>
        <v>360</v>
      </c>
      <c r="P28" s="68">
        <v>74.900000000000006</v>
      </c>
      <c r="Q28" s="65"/>
      <c r="R28" s="65"/>
      <c r="S28" s="66">
        <f>SUM(P28:R28)</f>
        <v>74.900000000000006</v>
      </c>
      <c r="T28" s="66"/>
      <c r="U28" s="67">
        <f>S28+T28</f>
        <v>74.900000000000006</v>
      </c>
      <c r="V28" s="68">
        <v>370</v>
      </c>
      <c r="W28" s="65"/>
      <c r="X28" s="65"/>
      <c r="Y28" s="66">
        <f>SUM(V28:X28)</f>
        <v>370</v>
      </c>
      <c r="Z28" s="66"/>
      <c r="AA28" s="67">
        <f>Y28+Z28</f>
        <v>370</v>
      </c>
      <c r="AB28" s="21">
        <f t="shared" ref="AB28:AB41" si="12">(AA28/O28)</f>
        <v>1.0277777777777777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649.9</v>
      </c>
      <c r="E29" s="70"/>
      <c r="F29" s="70">
        <v>2107.1999999999998</v>
      </c>
      <c r="G29" s="71">
        <f t="shared" ref="G29:G38" si="13">SUM(D29:F29)</f>
        <v>2757.1</v>
      </c>
      <c r="H29" s="72">
        <v>9.9</v>
      </c>
      <c r="I29" s="20">
        <f t="shared" ref="I29:I38" si="14">G29+H29</f>
        <v>2767</v>
      </c>
      <c r="J29" s="73">
        <v>320</v>
      </c>
      <c r="K29" s="70"/>
      <c r="L29" s="70">
        <v>2200</v>
      </c>
      <c r="M29" s="71">
        <f t="shared" ref="M29:M38" si="15">SUM(J29:L29)</f>
        <v>2520</v>
      </c>
      <c r="N29" s="72">
        <v>22</v>
      </c>
      <c r="O29" s="20">
        <f t="shared" ref="O29:O38" si="16">M29+N29</f>
        <v>2542</v>
      </c>
      <c r="P29" s="73">
        <v>523.20000000000005</v>
      </c>
      <c r="Q29" s="70"/>
      <c r="R29" s="70">
        <v>1361.6</v>
      </c>
      <c r="S29" s="71">
        <f t="shared" ref="S29:S37" si="17">SUM(P29:R29)</f>
        <v>1884.8</v>
      </c>
      <c r="T29" s="72"/>
      <c r="U29" s="20">
        <f t="shared" ref="U29:U38" si="18">S29+T29</f>
        <v>1884.8</v>
      </c>
      <c r="V29" s="73">
        <v>340</v>
      </c>
      <c r="W29" s="70"/>
      <c r="X29" s="70">
        <v>2400</v>
      </c>
      <c r="Y29" s="71">
        <f t="shared" ref="Y29:Y38" si="19">SUM(V29:X29)</f>
        <v>2740</v>
      </c>
      <c r="Z29" s="72">
        <v>40</v>
      </c>
      <c r="AA29" s="20">
        <f t="shared" ref="AA29:AA38" si="20">Y29+Z29</f>
        <v>2780</v>
      </c>
      <c r="AB29" s="21">
        <f t="shared" si="12"/>
        <v>1.093627065302911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1838.1</v>
      </c>
      <c r="E30" s="74"/>
      <c r="F30" s="74" t="s">
        <v>132</v>
      </c>
      <c r="G30" s="71">
        <f t="shared" si="13"/>
        <v>1838.1</v>
      </c>
      <c r="H30" s="71">
        <v>148</v>
      </c>
      <c r="I30" s="20">
        <f t="shared" si="14"/>
        <v>1986.1</v>
      </c>
      <c r="J30" s="75">
        <v>3827.9</v>
      </c>
      <c r="K30" s="74"/>
      <c r="L30" s="74"/>
      <c r="M30" s="71">
        <f t="shared" si="15"/>
        <v>3827.9</v>
      </c>
      <c r="N30" s="71">
        <v>258</v>
      </c>
      <c r="O30" s="20">
        <f t="shared" si="16"/>
        <v>4085.9</v>
      </c>
      <c r="P30" s="75">
        <v>1445.1</v>
      </c>
      <c r="Q30" s="74"/>
      <c r="R30" s="74"/>
      <c r="S30" s="71">
        <f t="shared" si="17"/>
        <v>1445.1</v>
      </c>
      <c r="T30" s="71"/>
      <c r="U30" s="20">
        <f t="shared" si="18"/>
        <v>1445.1</v>
      </c>
      <c r="V30" s="75">
        <v>3000</v>
      </c>
      <c r="W30" s="74"/>
      <c r="X30" s="74"/>
      <c r="Y30" s="71">
        <f t="shared" si="19"/>
        <v>3000</v>
      </c>
      <c r="Z30" s="71">
        <v>310</v>
      </c>
      <c r="AA30" s="20">
        <f t="shared" si="20"/>
        <v>3310</v>
      </c>
      <c r="AB30" s="21">
        <f t="shared" si="12"/>
        <v>0.81010303727452948</v>
      </c>
      <c r="AC30" s="3"/>
      <c r="AD30" s="3"/>
    </row>
    <row r="31" spans="1:30" x14ac:dyDescent="0.25">
      <c r="A31" s="1"/>
      <c r="B31" s="22" t="s">
        <v>56</v>
      </c>
      <c r="C31" s="41" t="s">
        <v>57</v>
      </c>
      <c r="D31" s="74">
        <v>652.6</v>
      </c>
      <c r="E31" s="74"/>
      <c r="F31" s="74">
        <v>151.1</v>
      </c>
      <c r="G31" s="71">
        <f t="shared" si="13"/>
        <v>803.7</v>
      </c>
      <c r="H31" s="71"/>
      <c r="I31" s="20">
        <f t="shared" si="14"/>
        <v>803.7</v>
      </c>
      <c r="J31" s="75">
        <v>730</v>
      </c>
      <c r="K31" s="74"/>
      <c r="L31" s="74">
        <v>200</v>
      </c>
      <c r="M31" s="71">
        <f t="shared" si="15"/>
        <v>930</v>
      </c>
      <c r="N31" s="71"/>
      <c r="O31" s="20">
        <f t="shared" si="16"/>
        <v>930</v>
      </c>
      <c r="P31" s="75">
        <v>456.1</v>
      </c>
      <c r="Q31" s="74"/>
      <c r="R31" s="74">
        <v>77.099999999999994</v>
      </c>
      <c r="S31" s="71">
        <f t="shared" si="17"/>
        <v>533.20000000000005</v>
      </c>
      <c r="T31" s="71"/>
      <c r="U31" s="20">
        <f t="shared" si="18"/>
        <v>533.20000000000005</v>
      </c>
      <c r="V31" s="75">
        <v>740</v>
      </c>
      <c r="W31" s="74"/>
      <c r="X31" s="74">
        <v>100</v>
      </c>
      <c r="Y31" s="71">
        <f t="shared" si="19"/>
        <v>840</v>
      </c>
      <c r="Z31" s="71"/>
      <c r="AA31" s="20">
        <f t="shared" si="20"/>
        <v>840</v>
      </c>
      <c r="AB31" s="21">
        <f t="shared" si="12"/>
        <v>0.90322580645161288</v>
      </c>
      <c r="AC31" s="3"/>
      <c r="AD31" s="3"/>
    </row>
    <row r="32" spans="1:30" x14ac:dyDescent="0.25">
      <c r="A32" s="1"/>
      <c r="B32" s="22" t="s">
        <v>58</v>
      </c>
      <c r="C32" s="41" t="s">
        <v>59</v>
      </c>
      <c r="D32" s="425">
        <v>191.6</v>
      </c>
      <c r="E32" s="74">
        <v>28417.200000000001</v>
      </c>
      <c r="F32" s="421" t="s">
        <v>132</v>
      </c>
      <c r="G32" s="71">
        <f t="shared" si="13"/>
        <v>28608.799999999999</v>
      </c>
      <c r="H32" s="71">
        <v>5.5</v>
      </c>
      <c r="I32" s="20">
        <f t="shared" si="14"/>
        <v>28614.3</v>
      </c>
      <c r="J32" s="77">
        <v>222.5</v>
      </c>
      <c r="K32" s="74">
        <v>29284.6</v>
      </c>
      <c r="L32" s="74"/>
      <c r="M32" s="71">
        <f t="shared" si="15"/>
        <v>29507.1</v>
      </c>
      <c r="N32" s="71"/>
      <c r="O32" s="20">
        <f t="shared" si="16"/>
        <v>29507.1</v>
      </c>
      <c r="P32" s="77">
        <v>107.7</v>
      </c>
      <c r="Q32" s="74">
        <v>14364.4</v>
      </c>
      <c r="R32" s="74"/>
      <c r="S32" s="71">
        <f t="shared" si="17"/>
        <v>14472.1</v>
      </c>
      <c r="T32" s="71"/>
      <c r="U32" s="20">
        <f t="shared" si="18"/>
        <v>14472.1</v>
      </c>
      <c r="V32" s="77">
        <v>241.6</v>
      </c>
      <c r="W32" s="74">
        <v>32835</v>
      </c>
      <c r="X32" s="74"/>
      <c r="Y32" s="71">
        <f t="shared" si="19"/>
        <v>33076.6</v>
      </c>
      <c r="Z32" s="71"/>
      <c r="AA32" s="20">
        <f t="shared" si="20"/>
        <v>33076.6</v>
      </c>
      <c r="AB32" s="21">
        <f t="shared" si="12"/>
        <v>1.120970884973447</v>
      </c>
      <c r="AC32" s="3"/>
      <c r="AD32" s="3"/>
    </row>
    <row r="33" spans="1:30" x14ac:dyDescent="0.25">
      <c r="A33" s="1"/>
      <c r="B33" s="22" t="s">
        <v>60</v>
      </c>
      <c r="C33" s="35" t="s">
        <v>61</v>
      </c>
      <c r="D33" s="425">
        <v>191.6</v>
      </c>
      <c r="E33" s="74">
        <v>28280.7</v>
      </c>
      <c r="F33" s="74"/>
      <c r="G33" s="71">
        <f t="shared" si="13"/>
        <v>28472.3</v>
      </c>
      <c r="H33" s="71"/>
      <c r="I33" s="20">
        <f t="shared" si="14"/>
        <v>28472.3</v>
      </c>
      <c r="J33" s="77"/>
      <c r="K33" s="74">
        <v>29184.6</v>
      </c>
      <c r="L33" s="74"/>
      <c r="M33" s="71">
        <f t="shared" si="15"/>
        <v>29184.6</v>
      </c>
      <c r="N33" s="71"/>
      <c r="O33" s="20">
        <f t="shared" si="16"/>
        <v>29184.6</v>
      </c>
      <c r="P33" s="77">
        <v>79.3</v>
      </c>
      <c r="Q33" s="74">
        <v>14183.5</v>
      </c>
      <c r="R33" s="74"/>
      <c r="S33" s="71">
        <f t="shared" si="17"/>
        <v>14262.8</v>
      </c>
      <c r="T33" s="71"/>
      <c r="U33" s="20">
        <f t="shared" si="18"/>
        <v>14262.8</v>
      </c>
      <c r="V33" s="77">
        <v>175.6</v>
      </c>
      <c r="W33" s="74">
        <v>32735</v>
      </c>
      <c r="X33" s="74"/>
      <c r="Y33" s="71">
        <f t="shared" si="19"/>
        <v>32910.6</v>
      </c>
      <c r="Z33" s="71"/>
      <c r="AA33" s="20">
        <f t="shared" si="20"/>
        <v>32910.6</v>
      </c>
      <c r="AB33" s="21">
        <f t="shared" si="12"/>
        <v>1.1276700725725211</v>
      </c>
      <c r="AC33" s="3"/>
      <c r="AD33" s="3"/>
    </row>
    <row r="34" spans="1:30" x14ac:dyDescent="0.25">
      <c r="A34" s="1"/>
      <c r="B34" s="22" t="s">
        <v>62</v>
      </c>
      <c r="C34" s="78" t="s">
        <v>63</v>
      </c>
      <c r="D34" s="425" t="s">
        <v>132</v>
      </c>
      <c r="E34" s="74">
        <v>136.5</v>
      </c>
      <c r="F34" s="74"/>
      <c r="G34" s="71">
        <f t="shared" si="13"/>
        <v>136.5</v>
      </c>
      <c r="H34" s="71"/>
      <c r="I34" s="20">
        <f t="shared" si="14"/>
        <v>136.5</v>
      </c>
      <c r="J34" s="77" t="s">
        <v>132</v>
      </c>
      <c r="K34" s="74">
        <v>100</v>
      </c>
      <c r="L34" s="74"/>
      <c r="M34" s="71">
        <f t="shared" si="15"/>
        <v>100</v>
      </c>
      <c r="N34" s="71"/>
      <c r="O34" s="20">
        <f t="shared" si="16"/>
        <v>100</v>
      </c>
      <c r="P34" s="77" t="s">
        <v>132</v>
      </c>
      <c r="Q34" s="74">
        <v>180.9</v>
      </c>
      <c r="R34" s="74"/>
      <c r="S34" s="71">
        <f t="shared" si="17"/>
        <v>180.9</v>
      </c>
      <c r="T34" s="71"/>
      <c r="U34" s="20">
        <f t="shared" si="18"/>
        <v>180.9</v>
      </c>
      <c r="V34" s="77" t="s">
        <v>132</v>
      </c>
      <c r="W34" s="74">
        <v>100</v>
      </c>
      <c r="X34" s="74"/>
      <c r="Y34" s="71">
        <f t="shared" si="19"/>
        <v>100</v>
      </c>
      <c r="Z34" s="71"/>
      <c r="AA34" s="20">
        <f t="shared" si="20"/>
        <v>100</v>
      </c>
      <c r="AB34" s="21">
        <f t="shared" si="12"/>
        <v>1</v>
      </c>
      <c r="AC34" s="3"/>
      <c r="AD34" s="3"/>
    </row>
    <row r="35" spans="1:30" x14ac:dyDescent="0.25">
      <c r="A35" s="1"/>
      <c r="B35" s="22" t="s">
        <v>64</v>
      </c>
      <c r="C35" s="41" t="s">
        <v>65</v>
      </c>
      <c r="D35" s="425">
        <v>68.3</v>
      </c>
      <c r="E35" s="74">
        <v>9360.2999999999993</v>
      </c>
      <c r="F35" s="74">
        <v>107.5</v>
      </c>
      <c r="G35" s="71">
        <f t="shared" si="13"/>
        <v>9536.0999999999985</v>
      </c>
      <c r="H35" s="71"/>
      <c r="I35" s="20">
        <f t="shared" si="14"/>
        <v>9536.0999999999985</v>
      </c>
      <c r="J35" s="77"/>
      <c r="K35" s="74">
        <v>9898.2000000000007</v>
      </c>
      <c r="L35" s="74"/>
      <c r="M35" s="71">
        <f t="shared" si="15"/>
        <v>9898.2000000000007</v>
      </c>
      <c r="N35" s="71"/>
      <c r="O35" s="20">
        <f t="shared" si="16"/>
        <v>9898.2000000000007</v>
      </c>
      <c r="P35" s="77">
        <v>28.4</v>
      </c>
      <c r="Q35" s="74">
        <v>5139.8</v>
      </c>
      <c r="R35" s="74"/>
      <c r="S35" s="71">
        <f t="shared" si="17"/>
        <v>5168.2</v>
      </c>
      <c r="T35" s="71"/>
      <c r="U35" s="20">
        <f t="shared" si="18"/>
        <v>5168.2</v>
      </c>
      <c r="V35" s="77">
        <v>66</v>
      </c>
      <c r="W35" s="74">
        <v>11754.3</v>
      </c>
      <c r="X35" s="74"/>
      <c r="Y35" s="71">
        <f t="shared" si="19"/>
        <v>11820.3</v>
      </c>
      <c r="Z35" s="71"/>
      <c r="AA35" s="20">
        <f t="shared" si="20"/>
        <v>11820.3</v>
      </c>
      <c r="AB35" s="21">
        <f t="shared" si="12"/>
        <v>1.1941868218463962</v>
      </c>
      <c r="AC35" s="3"/>
      <c r="AD35" s="3"/>
    </row>
    <row r="36" spans="1:30" x14ac:dyDescent="0.25">
      <c r="A36" s="1"/>
      <c r="B36" s="22" t="s">
        <v>66</v>
      </c>
      <c r="C36" s="41" t="s">
        <v>67</v>
      </c>
      <c r="D36" s="74" t="s">
        <v>132</v>
      </c>
      <c r="E36" s="74"/>
      <c r="F36" s="74"/>
      <c r="G36" s="71">
        <f t="shared" si="13"/>
        <v>0</v>
      </c>
      <c r="H36" s="71"/>
      <c r="I36" s="20">
        <f t="shared" si="14"/>
        <v>0</v>
      </c>
      <c r="J36" s="75"/>
      <c r="K36" s="74"/>
      <c r="L36" s="74"/>
      <c r="M36" s="71">
        <f t="shared" si="15"/>
        <v>0</v>
      </c>
      <c r="N36" s="71"/>
      <c r="O36" s="20">
        <f t="shared" si="16"/>
        <v>0</v>
      </c>
      <c r="P36" s="75"/>
      <c r="Q36" s="74"/>
      <c r="R36" s="74"/>
      <c r="S36" s="71">
        <f t="shared" si="17"/>
        <v>0</v>
      </c>
      <c r="T36" s="71"/>
      <c r="U36" s="20">
        <f t="shared" si="18"/>
        <v>0</v>
      </c>
      <c r="V36" s="75"/>
      <c r="W36" s="74"/>
      <c r="X36" s="74"/>
      <c r="Y36" s="71">
        <f t="shared" si="19"/>
        <v>0</v>
      </c>
      <c r="Z36" s="71"/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68</v>
      </c>
      <c r="C37" s="41" t="s">
        <v>69</v>
      </c>
      <c r="D37" s="74">
        <v>1412.8</v>
      </c>
      <c r="E37" s="74"/>
      <c r="F37" s="74"/>
      <c r="G37" s="71">
        <f t="shared" si="13"/>
        <v>1412.8</v>
      </c>
      <c r="H37" s="71"/>
      <c r="I37" s="20">
        <f t="shared" si="14"/>
        <v>1412.8</v>
      </c>
      <c r="J37" s="75">
        <v>1396.6</v>
      </c>
      <c r="K37" s="74"/>
      <c r="L37" s="74"/>
      <c r="M37" s="71">
        <f t="shared" si="15"/>
        <v>1396.6</v>
      </c>
      <c r="N37" s="71"/>
      <c r="O37" s="20">
        <f t="shared" si="16"/>
        <v>1396.6</v>
      </c>
      <c r="P37" s="75">
        <v>698.3</v>
      </c>
      <c r="Q37" s="74"/>
      <c r="R37" s="74"/>
      <c r="S37" s="71">
        <f t="shared" si="17"/>
        <v>698.3</v>
      </c>
      <c r="T37" s="71"/>
      <c r="U37" s="20">
        <f t="shared" si="18"/>
        <v>698.3</v>
      </c>
      <c r="V37" s="75">
        <v>1389.8</v>
      </c>
      <c r="W37" s="74"/>
      <c r="X37" s="74"/>
      <c r="Y37" s="71">
        <f t="shared" si="19"/>
        <v>1389.8</v>
      </c>
      <c r="Z37" s="71"/>
      <c r="AA37" s="20">
        <f t="shared" si="20"/>
        <v>1389.8</v>
      </c>
      <c r="AB37" s="21">
        <f t="shared" si="12"/>
        <v>0.99513103250751833</v>
      </c>
      <c r="AC37" s="3"/>
      <c r="AD37" s="3"/>
    </row>
    <row r="38" spans="1:30" ht="15.75" thickBot="1" x14ac:dyDescent="0.3">
      <c r="A38" s="1"/>
      <c r="B38" s="79" t="s">
        <v>70</v>
      </c>
      <c r="C38" s="80" t="s">
        <v>71</v>
      </c>
      <c r="D38" s="81">
        <v>256.7</v>
      </c>
      <c r="E38" s="414">
        <v>1192.4000000000001</v>
      </c>
      <c r="F38" s="81">
        <v>338.8</v>
      </c>
      <c r="G38" s="71">
        <f t="shared" si="13"/>
        <v>1787.9</v>
      </c>
      <c r="H38" s="82"/>
      <c r="I38" s="50">
        <f t="shared" si="14"/>
        <v>1787.9</v>
      </c>
      <c r="J38" s="83">
        <v>451.8</v>
      </c>
      <c r="K38" s="81">
        <v>1353</v>
      </c>
      <c r="L38" s="81">
        <v>100</v>
      </c>
      <c r="M38" s="82">
        <f t="shared" si="15"/>
        <v>1904.8</v>
      </c>
      <c r="N38" s="82"/>
      <c r="O38" s="50">
        <f t="shared" si="16"/>
        <v>1904.8</v>
      </c>
      <c r="P38" s="83">
        <v>85.2</v>
      </c>
      <c r="Q38" s="81">
        <v>816.8</v>
      </c>
      <c r="R38" s="81"/>
      <c r="S38" s="82">
        <v>873.6</v>
      </c>
      <c r="T38" s="82"/>
      <c r="U38" s="50">
        <f t="shared" si="18"/>
        <v>873.6</v>
      </c>
      <c r="V38" s="83">
        <v>213.7</v>
      </c>
      <c r="W38" s="81">
        <v>1000</v>
      </c>
      <c r="X38" s="81">
        <v>200</v>
      </c>
      <c r="Y38" s="82">
        <f t="shared" si="19"/>
        <v>1413.7</v>
      </c>
      <c r="Z38" s="82"/>
      <c r="AA38" s="50">
        <f t="shared" si="20"/>
        <v>1413.7</v>
      </c>
      <c r="AB38" s="51">
        <f t="shared" si="12"/>
        <v>0.74217765644687106</v>
      </c>
      <c r="AC38" s="3"/>
      <c r="AD38" s="3"/>
    </row>
    <row r="39" spans="1:30" ht="15.75" thickBot="1" x14ac:dyDescent="0.3">
      <c r="A39" s="1"/>
      <c r="B39" s="52" t="s">
        <v>72</v>
      </c>
      <c r="C39" s="84" t="s">
        <v>73</v>
      </c>
      <c r="D39" s="85">
        <f>SUM(D35:D38)+SUM(D28:D32)</f>
        <v>5260.4</v>
      </c>
      <c r="E39" s="85">
        <f>SUM(E35:E38)+SUM(E28:E32)</f>
        <v>38969.9</v>
      </c>
      <c r="F39" s="85">
        <f>SUM(F35:F38)+SUM(F28:F32)</f>
        <v>2704.6</v>
      </c>
      <c r="G39" s="86">
        <f>SUM(D39:F39)</f>
        <v>46934.9</v>
      </c>
      <c r="H39" s="87">
        <f>SUM(H28:H32)+SUM(H35:H38)</f>
        <v>163.4</v>
      </c>
      <c r="I39" s="88">
        <f>SUM(I35:I38)+SUM(I28:I32)</f>
        <v>47098.299999999996</v>
      </c>
      <c r="J39" s="85">
        <f>SUM(J35:J38)+SUM(J28:J32)</f>
        <v>7308.7999999999993</v>
      </c>
      <c r="K39" s="85">
        <f>SUM(K35:K38)+SUM(K28:K32)</f>
        <v>40535.800000000003</v>
      </c>
      <c r="L39" s="85">
        <f>SUM(L35:L38)+SUM(L28:L32)</f>
        <v>2500</v>
      </c>
      <c r="M39" s="86">
        <f>SUM(J39:L39)</f>
        <v>50344.600000000006</v>
      </c>
      <c r="N39" s="87">
        <f>SUM(N28:N32)+SUM(N35:N38)</f>
        <v>280</v>
      </c>
      <c r="O39" s="88">
        <f>SUM(O35:O38)+SUM(O28:O32)</f>
        <v>50624.6</v>
      </c>
      <c r="P39" s="85">
        <f>SUM(P35:P38)+SUM(P28:P32)</f>
        <v>3418.8999999999996</v>
      </c>
      <c r="Q39" s="85">
        <f>SUM(Q35:Q38)+SUM(Q28:Q32)</f>
        <v>20321</v>
      </c>
      <c r="R39" s="85">
        <f>SUM(R35:R38)+SUM(R28:R32)</f>
        <v>1438.6999999999998</v>
      </c>
      <c r="S39" s="86">
        <f>SUM(P39:R39)</f>
        <v>25178.600000000002</v>
      </c>
      <c r="T39" s="87">
        <f>SUM(T28:T32)+SUM(T35:T38)</f>
        <v>0</v>
      </c>
      <c r="U39" s="88">
        <f>SUM(U35:U38)+SUM(U28:U32)</f>
        <v>25150.199999999997</v>
      </c>
      <c r="V39" s="85">
        <f>SUM(V35:V38)+SUM(V28:V32)</f>
        <v>6361.1</v>
      </c>
      <c r="W39" s="85">
        <f>SUM(W35:W38)+SUM(W28:W32)</f>
        <v>45589.3</v>
      </c>
      <c r="X39" s="85">
        <f>SUM(X35:X38)+SUM(X28:X32)</f>
        <v>2700</v>
      </c>
      <c r="Y39" s="86">
        <f>SUM(V39:X39)</f>
        <v>54650.400000000001</v>
      </c>
      <c r="Z39" s="87">
        <f>SUM(Z28:Z32)+SUM(Z35:Z38)</f>
        <v>350</v>
      </c>
      <c r="AA39" s="88">
        <f>SUM(AA35:AA38)+SUM(AA28:AA32)</f>
        <v>55000.399999999994</v>
      </c>
      <c r="AB39" s="89">
        <f t="shared" si="12"/>
        <v>1.0864362385085511</v>
      </c>
      <c r="AC39" s="3"/>
      <c r="AD39" s="3"/>
    </row>
    <row r="40" spans="1:30" ht="19.5" thickBot="1" x14ac:dyDescent="0.35">
      <c r="A40" s="1"/>
      <c r="B40" s="90" t="s">
        <v>74</v>
      </c>
      <c r="C40" s="91" t="s">
        <v>75</v>
      </c>
      <c r="D40" s="92">
        <f t="shared" ref="D40:AA40" si="21">D24-D39</f>
        <v>-28.100000000000364</v>
      </c>
      <c r="E40" s="92">
        <f t="shared" si="21"/>
        <v>182.09999999999854</v>
      </c>
      <c r="F40" s="92">
        <f t="shared" si="21"/>
        <v>-152.90000000000009</v>
      </c>
      <c r="G40" s="93">
        <f t="shared" si="21"/>
        <v>1.0999999999985448</v>
      </c>
      <c r="H40" s="93">
        <f t="shared" si="21"/>
        <v>49.599999999999994</v>
      </c>
      <c r="I40" s="94">
        <f t="shared" si="21"/>
        <v>50.700000000011642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-462.5</v>
      </c>
      <c r="Q40" s="92">
        <f t="shared" si="21"/>
        <v>107.70000000000073</v>
      </c>
      <c r="R40" s="92">
        <f t="shared" si="21"/>
        <v>414.90000000000009</v>
      </c>
      <c r="S40" s="93">
        <f t="shared" si="21"/>
        <v>60.099999999994907</v>
      </c>
      <c r="T40" s="93">
        <f t="shared" si="21"/>
        <v>211.9</v>
      </c>
      <c r="U40" s="94">
        <f t="shared" si="21"/>
        <v>300.40000000000146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76</v>
      </c>
      <c r="C41" s="97" t="s">
        <v>77</v>
      </c>
      <c r="D41" s="98"/>
      <c r="E41" s="99"/>
      <c r="F41" s="99"/>
      <c r="G41" s="100"/>
      <c r="H41" s="101"/>
      <c r="I41" s="102">
        <f>I40-D16</f>
        <v>-3908.6999999999884</v>
      </c>
      <c r="J41" s="98"/>
      <c r="K41" s="99"/>
      <c r="L41" s="99"/>
      <c r="M41" s="100"/>
      <c r="N41" s="103"/>
      <c r="O41" s="102">
        <f>O40-J16</f>
        <v>-4473.7</v>
      </c>
      <c r="P41" s="98"/>
      <c r="Q41" s="99"/>
      <c r="R41" s="99"/>
      <c r="S41" s="100"/>
      <c r="T41" s="103"/>
      <c r="U41" s="102">
        <f>U40-P16</f>
        <v>-1938.2999999999984</v>
      </c>
      <c r="V41" s="98"/>
      <c r="W41" s="99"/>
      <c r="X41" s="99"/>
      <c r="Y41" s="100"/>
      <c r="Z41" s="103"/>
      <c r="AA41" s="102">
        <f>AA40-V16</f>
        <v>-5201.6000000000004</v>
      </c>
      <c r="AB41" s="21">
        <f t="shared" si="12"/>
        <v>1.1627064845653488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928" t="s">
        <v>78</v>
      </c>
      <c r="D43" s="112" t="s">
        <v>79</v>
      </c>
      <c r="E43" s="113" t="s">
        <v>80</v>
      </c>
      <c r="F43" s="114" t="s">
        <v>81</v>
      </c>
      <c r="G43" s="108"/>
      <c r="H43" s="108"/>
      <c r="I43" s="115"/>
      <c r="J43" s="112" t="s">
        <v>79</v>
      </c>
      <c r="K43" s="113" t="s">
        <v>80</v>
      </c>
      <c r="L43" s="114" t="s">
        <v>81</v>
      </c>
      <c r="M43" s="108"/>
      <c r="N43" s="108"/>
      <c r="O43" s="108"/>
      <c r="P43" s="112" t="s">
        <v>79</v>
      </c>
      <c r="Q43" s="113" t="s">
        <v>80</v>
      </c>
      <c r="R43" s="114" t="s">
        <v>81</v>
      </c>
      <c r="S43" s="109"/>
      <c r="T43" s="109"/>
      <c r="U43" s="109"/>
      <c r="V43" s="112" t="s">
        <v>79</v>
      </c>
      <c r="W43" s="113" t="s">
        <v>80</v>
      </c>
      <c r="X43" s="114" t="s">
        <v>81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929"/>
      <c r="D44" s="116">
        <v>321.89999999999998</v>
      </c>
      <c r="E44" s="117">
        <v>321.89999999999998</v>
      </c>
      <c r="F44" s="118">
        <v>0</v>
      </c>
      <c r="G44" s="108"/>
      <c r="H44" s="108"/>
      <c r="I44" s="115"/>
      <c r="J44" s="116">
        <v>321.89999999999998</v>
      </c>
      <c r="K44" s="117">
        <v>321.89999999999998</v>
      </c>
      <c r="L44" s="118">
        <v>0</v>
      </c>
      <c r="M44" s="119"/>
      <c r="N44" s="119"/>
      <c r="O44" s="119"/>
      <c r="P44" s="116">
        <v>321.89999999999998</v>
      </c>
      <c r="Q44" s="117">
        <v>321.89999999999998</v>
      </c>
      <c r="R44" s="118">
        <v>0</v>
      </c>
      <c r="S44" s="3"/>
      <c r="T44" s="3"/>
      <c r="U44" s="3"/>
      <c r="V44" s="116">
        <v>321.89999999999998</v>
      </c>
      <c r="W44" s="117">
        <v>321.89999999999998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928" t="s">
        <v>82</v>
      </c>
      <c r="D46" s="120" t="s">
        <v>83</v>
      </c>
      <c r="E46" s="121" t="s">
        <v>84</v>
      </c>
      <c r="F46" s="108"/>
      <c r="G46" s="108"/>
      <c r="H46" s="108"/>
      <c r="I46" s="115"/>
      <c r="J46" s="120" t="s">
        <v>83</v>
      </c>
      <c r="K46" s="121" t="s">
        <v>84</v>
      </c>
      <c r="L46" s="122"/>
      <c r="M46" s="122"/>
      <c r="N46" s="109"/>
      <c r="O46" s="109"/>
      <c r="P46" s="120" t="s">
        <v>83</v>
      </c>
      <c r="Q46" s="121" t="s">
        <v>84</v>
      </c>
      <c r="R46" s="109"/>
      <c r="S46" s="109"/>
      <c r="T46" s="109"/>
      <c r="U46" s="109"/>
      <c r="V46" s="120" t="s">
        <v>83</v>
      </c>
      <c r="W46" s="121" t="s">
        <v>84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930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85</v>
      </c>
      <c r="D49" s="127" t="s">
        <v>86</v>
      </c>
      <c r="E49" s="127" t="s">
        <v>87</v>
      </c>
      <c r="F49" s="127" t="s">
        <v>88</v>
      </c>
      <c r="G49" s="127" t="s">
        <v>89</v>
      </c>
      <c r="H49" s="108"/>
      <c r="I49" s="3"/>
      <c r="J49" s="127" t="s">
        <v>86</v>
      </c>
      <c r="K49" s="127" t="s">
        <v>87</v>
      </c>
      <c r="L49" s="127" t="s">
        <v>88</v>
      </c>
      <c r="M49" s="127" t="s">
        <v>90</v>
      </c>
      <c r="N49" s="3"/>
      <c r="O49" s="3"/>
      <c r="P49" s="127" t="s">
        <v>86</v>
      </c>
      <c r="Q49" s="127" t="s">
        <v>87</v>
      </c>
      <c r="R49" s="127" t="s">
        <v>88</v>
      </c>
      <c r="S49" s="127" t="s">
        <v>90</v>
      </c>
      <c r="T49" s="3"/>
      <c r="U49" s="3"/>
      <c r="V49" s="127" t="s">
        <v>92</v>
      </c>
      <c r="W49" s="127" t="s">
        <v>87</v>
      </c>
      <c r="X49" s="127" t="s">
        <v>88</v>
      </c>
      <c r="Y49" s="127" t="s">
        <v>90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/>
      <c r="E50" s="129"/>
      <c r="F50" s="129"/>
      <c r="G50" s="130">
        <f>D50+E50-F50</f>
        <v>0</v>
      </c>
      <c r="H50" s="108"/>
      <c r="I50" s="3"/>
      <c r="J50" s="129">
        <v>3698.7</v>
      </c>
      <c r="K50" s="129">
        <v>1577</v>
      </c>
      <c r="L50" s="129">
        <v>2207.9</v>
      </c>
      <c r="M50" s="130">
        <v>3067.8</v>
      </c>
      <c r="N50" s="3"/>
      <c r="O50" s="3"/>
      <c r="P50" s="129">
        <v>3698.7</v>
      </c>
      <c r="Q50" s="129">
        <v>1577</v>
      </c>
      <c r="R50" s="129">
        <v>2207.9</v>
      </c>
      <c r="S50" s="130">
        <v>3067.8</v>
      </c>
      <c r="T50" s="3"/>
      <c r="U50" s="3"/>
      <c r="V50" s="130">
        <v>3067.8</v>
      </c>
      <c r="W50" s="129"/>
      <c r="X50" s="129"/>
      <c r="Y50" s="130">
        <v>3255.9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1141.3</v>
      </c>
      <c r="E51" s="129">
        <v>208.4</v>
      </c>
      <c r="F51" s="129">
        <v>477.8</v>
      </c>
      <c r="G51" s="130">
        <f t="shared" ref="G51:G54" si="22">D51+E51-F51</f>
        <v>871.90000000000009</v>
      </c>
      <c r="H51" s="108"/>
      <c r="I51" s="3"/>
      <c r="J51" s="129">
        <v>871.9</v>
      </c>
      <c r="K51" s="129">
        <v>387</v>
      </c>
      <c r="L51" s="129">
        <v>387</v>
      </c>
      <c r="M51" s="130">
        <f t="shared" ref="M51:M54" si="23">J51+K51-L51</f>
        <v>871.90000000000009</v>
      </c>
      <c r="N51" s="3"/>
      <c r="O51" s="3"/>
      <c r="P51" s="129">
        <v>871.9</v>
      </c>
      <c r="Q51" s="129">
        <v>387</v>
      </c>
      <c r="R51" s="129">
        <v>387</v>
      </c>
      <c r="S51" s="130">
        <f t="shared" ref="S51:S52" si="24">P51+Q51-R51</f>
        <v>871.90000000000009</v>
      </c>
      <c r="T51" s="3"/>
      <c r="U51" s="3"/>
      <c r="V51" s="130">
        <f t="shared" ref="V51:V52" si="25">S51+T51-U51</f>
        <v>871.90000000000009</v>
      </c>
      <c r="W51" s="129">
        <v>100</v>
      </c>
      <c r="X51" s="129">
        <v>100</v>
      </c>
      <c r="Y51" s="130">
        <f t="shared" ref="Y51:Y54" si="26">V51+W51-X51</f>
        <v>871.90000000000009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1421</v>
      </c>
      <c r="E52" s="129">
        <v>512.4</v>
      </c>
      <c r="F52" s="129">
        <v>321.89999999999998</v>
      </c>
      <c r="G52" s="130">
        <f t="shared" si="22"/>
        <v>1611.5</v>
      </c>
      <c r="H52" s="108"/>
      <c r="I52" s="3"/>
      <c r="J52" s="129">
        <v>1611.5</v>
      </c>
      <c r="K52" s="129">
        <v>600</v>
      </c>
      <c r="L52" s="129">
        <v>321.89999999999998</v>
      </c>
      <c r="M52" s="130">
        <f t="shared" si="23"/>
        <v>1889.6</v>
      </c>
      <c r="N52" s="3"/>
      <c r="O52" s="3"/>
      <c r="P52" s="129">
        <v>1611.5</v>
      </c>
      <c r="Q52" s="129">
        <v>600</v>
      </c>
      <c r="R52" s="129">
        <v>321.89999999999998</v>
      </c>
      <c r="S52" s="130">
        <f t="shared" si="24"/>
        <v>1889.6</v>
      </c>
      <c r="T52" s="3"/>
      <c r="U52" s="3"/>
      <c r="V52" s="130">
        <f t="shared" si="25"/>
        <v>1889.6</v>
      </c>
      <c r="W52" s="129">
        <v>500</v>
      </c>
      <c r="X52" s="129">
        <v>321.89999999999998</v>
      </c>
      <c r="Y52" s="130">
        <f t="shared" si="26"/>
        <v>2067.6999999999998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253.5</v>
      </c>
      <c r="E53" s="129">
        <v>49.1</v>
      </c>
      <c r="F53" s="129">
        <v>1.3</v>
      </c>
      <c r="G53" s="130">
        <f t="shared" si="22"/>
        <v>301.3</v>
      </c>
      <c r="H53" s="108"/>
      <c r="I53" s="3"/>
      <c r="J53" s="129">
        <v>301.3</v>
      </c>
      <c r="K53" s="129">
        <v>50</v>
      </c>
      <c r="L53" s="129">
        <v>100</v>
      </c>
      <c r="M53" s="130">
        <v>251.3</v>
      </c>
      <c r="N53" s="3"/>
      <c r="O53" s="3"/>
      <c r="P53" s="129">
        <v>301.3</v>
      </c>
      <c r="Q53" s="129">
        <v>50</v>
      </c>
      <c r="R53" s="129">
        <v>100</v>
      </c>
      <c r="S53" s="130">
        <v>251.3</v>
      </c>
      <c r="T53" s="3"/>
      <c r="U53" s="3"/>
      <c r="V53" s="130">
        <v>251.3</v>
      </c>
      <c r="W53" s="129">
        <v>50</v>
      </c>
      <c r="X53" s="129">
        <v>100</v>
      </c>
      <c r="Y53" s="130">
        <f t="shared" si="26"/>
        <v>201.3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3" t="s">
        <v>97</v>
      </c>
      <c r="D54" s="129">
        <v>932.3</v>
      </c>
      <c r="E54" s="129">
        <v>576.6</v>
      </c>
      <c r="F54" s="129">
        <v>594.9</v>
      </c>
      <c r="G54" s="130">
        <f t="shared" si="22"/>
        <v>914.00000000000011</v>
      </c>
      <c r="H54" s="108"/>
      <c r="I54" s="3"/>
      <c r="J54" s="129">
        <v>914</v>
      </c>
      <c r="K54" s="129">
        <v>540</v>
      </c>
      <c r="L54" s="129">
        <v>1399</v>
      </c>
      <c r="M54" s="130">
        <f t="shared" si="23"/>
        <v>55</v>
      </c>
      <c r="N54" s="3"/>
      <c r="O54" s="3"/>
      <c r="P54" s="129">
        <v>914</v>
      </c>
      <c r="Q54" s="129">
        <v>540</v>
      </c>
      <c r="R54" s="129">
        <v>1399</v>
      </c>
      <c r="S54" s="130">
        <f t="shared" ref="S54" si="27">P54+Q54-R54</f>
        <v>55</v>
      </c>
      <c r="T54" s="3"/>
      <c r="U54" s="3"/>
      <c r="V54" s="130">
        <f t="shared" ref="V54" si="28">S54+T54-U54</f>
        <v>55</v>
      </c>
      <c r="W54" s="129">
        <v>560</v>
      </c>
      <c r="X54" s="129">
        <v>500</v>
      </c>
      <c r="Y54" s="130">
        <f t="shared" si="26"/>
        <v>115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4">
        <v>53.46</v>
      </c>
      <c r="E57" s="134">
        <v>57.7</v>
      </c>
      <c r="F57" s="108"/>
      <c r="G57" s="108"/>
      <c r="H57" s="108"/>
      <c r="I57" s="115"/>
      <c r="J57" s="134">
        <v>61</v>
      </c>
      <c r="K57" s="108"/>
      <c r="L57" s="108"/>
      <c r="M57" s="108"/>
      <c r="N57" s="108" t="s">
        <v>132</v>
      </c>
      <c r="O57" s="115"/>
      <c r="P57" s="134">
        <v>60.46</v>
      </c>
      <c r="Q57" s="115"/>
      <c r="R57" s="115"/>
      <c r="S57" s="115"/>
      <c r="T57" s="115"/>
      <c r="U57" s="115"/>
      <c r="V57" s="134">
        <v>61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5" t="s">
        <v>103</v>
      </c>
      <c r="C59" s="136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  <c r="O59" s="931"/>
      <c r="P59" s="931"/>
      <c r="Q59" s="931"/>
      <c r="R59" s="931"/>
      <c r="S59" s="931"/>
      <c r="T59" s="931"/>
      <c r="U59" s="931"/>
      <c r="V59" s="137"/>
      <c r="W59" s="137"/>
      <c r="X59" s="137"/>
      <c r="Y59" s="137"/>
      <c r="Z59" s="137"/>
      <c r="AA59" s="137"/>
      <c r="AB59" s="138"/>
      <c r="AC59" s="3"/>
      <c r="AD59" s="3"/>
    </row>
    <row r="60" spans="1:30" x14ac:dyDescent="0.25">
      <c r="A60" s="1"/>
      <c r="B60" s="13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0"/>
      <c r="AC60" s="3"/>
      <c r="AD60" s="3"/>
    </row>
    <row r="61" spans="1:30" x14ac:dyDescent="0.25">
      <c r="A61" s="1"/>
      <c r="B61" s="925" t="s">
        <v>225</v>
      </c>
      <c r="C61" s="921"/>
      <c r="D61" s="921"/>
      <c r="E61" s="921"/>
      <c r="F61" s="921"/>
      <c r="G61" s="921"/>
      <c r="H61" s="921"/>
      <c r="I61" s="921"/>
      <c r="J61" s="921"/>
      <c r="K61" s="921"/>
      <c r="L61" s="925"/>
      <c r="M61" s="921"/>
      <c r="N61" s="921"/>
      <c r="O61" s="921"/>
      <c r="P61" s="921"/>
      <c r="Q61" s="921"/>
      <c r="R61" s="921"/>
      <c r="S61" s="921"/>
      <c r="T61" s="921"/>
      <c r="U61" s="921"/>
      <c r="V61" s="110"/>
      <c r="W61" s="110"/>
      <c r="X61" s="110"/>
      <c r="Y61" s="110"/>
      <c r="Z61" s="110"/>
      <c r="AA61" s="110"/>
      <c r="AB61" s="140"/>
      <c r="AC61" s="3"/>
      <c r="AD61" s="3"/>
    </row>
    <row r="62" spans="1:30" x14ac:dyDescent="0.25">
      <c r="A62" s="1"/>
      <c r="B62" s="925"/>
      <c r="C62" s="921"/>
      <c r="D62" s="921"/>
      <c r="E62" s="921"/>
      <c r="F62" s="921"/>
      <c r="G62" s="921"/>
      <c r="H62" s="921"/>
      <c r="I62" s="921"/>
      <c r="J62" s="921"/>
      <c r="K62" s="921"/>
      <c r="L62" s="925" t="s">
        <v>132</v>
      </c>
      <c r="M62" s="921"/>
      <c r="N62" s="921"/>
      <c r="O62" s="921"/>
      <c r="P62" s="921"/>
      <c r="Q62" s="921"/>
      <c r="R62" s="921"/>
      <c r="S62" s="921"/>
      <c r="T62" s="921"/>
      <c r="U62" s="921"/>
      <c r="V62" s="110"/>
      <c r="W62" s="110"/>
      <c r="X62" s="110"/>
      <c r="Y62" s="110"/>
      <c r="Z62" s="110"/>
      <c r="AA62" s="110"/>
      <c r="AB62" s="140"/>
      <c r="AC62" s="3"/>
      <c r="AD62" s="3"/>
    </row>
    <row r="63" spans="1:30" x14ac:dyDescent="0.25">
      <c r="A63" s="1"/>
      <c r="B63" s="925"/>
      <c r="C63" s="921"/>
      <c r="D63" s="921"/>
      <c r="E63" s="921"/>
      <c r="F63" s="921"/>
      <c r="G63" s="921"/>
      <c r="H63" s="921"/>
      <c r="I63" s="921"/>
      <c r="J63" s="921"/>
      <c r="K63" s="921"/>
      <c r="L63" s="921"/>
      <c r="M63" s="921"/>
      <c r="N63" s="921"/>
      <c r="O63" s="921"/>
      <c r="P63" s="921"/>
      <c r="Q63" s="921"/>
      <c r="R63" s="921"/>
      <c r="S63" s="921"/>
      <c r="T63" s="921"/>
      <c r="U63" s="921"/>
      <c r="V63" s="110"/>
      <c r="W63" s="110"/>
      <c r="X63" s="110"/>
      <c r="Y63" s="110"/>
      <c r="Z63" s="110"/>
      <c r="AA63" s="110"/>
      <c r="AB63" s="140"/>
      <c r="AC63" s="3"/>
      <c r="AD63" s="3"/>
    </row>
    <row r="64" spans="1:30" x14ac:dyDescent="0.25">
      <c r="A64" s="1"/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10"/>
      <c r="W64" s="110"/>
      <c r="X64" s="110"/>
      <c r="Y64" s="110"/>
      <c r="Z64" s="110"/>
      <c r="AA64" s="110"/>
      <c r="AB64" s="140"/>
      <c r="AC64" s="3"/>
      <c r="AD64" s="3"/>
    </row>
    <row r="65" spans="1:30" x14ac:dyDescent="0.25">
      <c r="A65" s="1"/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10"/>
      <c r="W65" s="110"/>
      <c r="X65" s="110"/>
      <c r="Y65" s="110"/>
      <c r="Z65" s="110"/>
      <c r="AA65" s="110"/>
      <c r="AB65" s="140"/>
      <c r="AC65" s="3"/>
      <c r="AD65" s="3"/>
    </row>
    <row r="66" spans="1:30" x14ac:dyDescent="0.25">
      <c r="A66" s="1"/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10"/>
      <c r="W66" s="110"/>
      <c r="X66" s="110"/>
      <c r="Y66" s="110"/>
      <c r="Z66" s="110"/>
      <c r="AA66" s="110"/>
      <c r="AB66" s="140"/>
      <c r="AC66" s="3"/>
      <c r="AD66" s="3"/>
    </row>
    <row r="67" spans="1:30" x14ac:dyDescent="0.25">
      <c r="A67" s="1"/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10"/>
      <c r="W67" s="110"/>
      <c r="X67" s="110"/>
      <c r="Y67" s="110"/>
      <c r="Z67" s="110"/>
      <c r="AA67" s="110"/>
      <c r="AB67" s="140"/>
      <c r="AC67" s="3"/>
      <c r="AD67" s="3"/>
    </row>
    <row r="68" spans="1:30" x14ac:dyDescent="0.25">
      <c r="A68" s="1"/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10"/>
      <c r="W68" s="110"/>
      <c r="X68" s="110"/>
      <c r="Y68" s="110"/>
      <c r="Z68" s="110"/>
      <c r="AA68" s="110"/>
      <c r="AB68" s="140"/>
      <c r="AC68" s="3"/>
      <c r="AD68" s="3"/>
    </row>
    <row r="69" spans="1:30" x14ac:dyDescent="0.25">
      <c r="A69" s="1"/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10"/>
      <c r="W69" s="110"/>
      <c r="X69" s="110"/>
      <c r="Y69" s="110"/>
      <c r="Z69" s="110"/>
      <c r="AA69" s="110"/>
      <c r="AB69" s="140"/>
      <c r="AC69" s="3"/>
      <c r="AD69" s="3"/>
    </row>
    <row r="70" spans="1:30" x14ac:dyDescent="0.25">
      <c r="A70" s="1"/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10"/>
      <c r="W70" s="110"/>
      <c r="X70" s="110"/>
      <c r="Y70" s="110"/>
      <c r="Z70" s="110"/>
      <c r="AA70" s="110"/>
      <c r="AB70" s="140"/>
      <c r="AC70" s="3"/>
      <c r="AD70" s="3"/>
    </row>
    <row r="71" spans="1:30" x14ac:dyDescent="0.25">
      <c r="A71" s="1"/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10"/>
      <c r="W71" s="110"/>
      <c r="X71" s="110"/>
      <c r="Y71" s="110"/>
      <c r="Z71" s="110"/>
      <c r="AA71" s="110"/>
      <c r="AB71" s="140"/>
      <c r="AC71" s="3"/>
      <c r="AD71" s="3"/>
    </row>
    <row r="72" spans="1:30" x14ac:dyDescent="0.25">
      <c r="A72" s="1"/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10"/>
      <c r="W72" s="110"/>
      <c r="X72" s="110"/>
      <c r="Y72" s="110"/>
      <c r="Z72" s="110"/>
      <c r="AA72" s="110"/>
      <c r="AB72" s="140"/>
      <c r="AC72" s="3"/>
      <c r="AD72" s="3"/>
    </row>
    <row r="73" spans="1:30" x14ac:dyDescent="0.25">
      <c r="A73" s="1"/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10"/>
      <c r="W73" s="110"/>
      <c r="X73" s="110"/>
      <c r="Y73" s="110"/>
      <c r="Z73" s="110"/>
      <c r="AA73" s="110"/>
      <c r="AB73" s="140"/>
      <c r="AC73" s="3"/>
      <c r="AD73" s="3"/>
    </row>
    <row r="74" spans="1:30" x14ac:dyDescent="0.25">
      <c r="A74" s="1"/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10"/>
      <c r="W74" s="110"/>
      <c r="X74" s="110"/>
      <c r="Y74" s="110"/>
      <c r="Z74" s="110"/>
      <c r="AA74" s="110"/>
      <c r="AB74" s="140"/>
      <c r="AC74" s="3"/>
      <c r="AD74" s="3"/>
    </row>
    <row r="75" spans="1:30" x14ac:dyDescent="0.25">
      <c r="A75" s="1"/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10"/>
      <c r="W75" s="110"/>
      <c r="X75" s="110"/>
      <c r="Y75" s="110"/>
      <c r="Z75" s="110"/>
      <c r="AA75" s="110"/>
      <c r="AB75" s="140"/>
      <c r="AC75" s="3"/>
      <c r="AD75" s="3"/>
    </row>
    <row r="76" spans="1:30" x14ac:dyDescent="0.25">
      <c r="A76" s="1"/>
      <c r="B76" s="14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10"/>
      <c r="W76" s="110"/>
      <c r="X76" s="110"/>
      <c r="Y76" s="110"/>
      <c r="Z76" s="110"/>
      <c r="AA76" s="110"/>
      <c r="AB76" s="140"/>
      <c r="AC76" s="3"/>
      <c r="AD76" s="3"/>
    </row>
    <row r="77" spans="1:30" x14ac:dyDescent="0.25">
      <c r="A77" s="1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10"/>
      <c r="W77" s="110"/>
      <c r="X77" s="110"/>
      <c r="Y77" s="110"/>
      <c r="Z77" s="110"/>
      <c r="AA77" s="110"/>
      <c r="AB77" s="140"/>
      <c r="AC77" s="3"/>
      <c r="AD77" s="3"/>
    </row>
    <row r="78" spans="1:30" x14ac:dyDescent="0.25">
      <c r="A78" s="1"/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10"/>
      <c r="W78" s="110"/>
      <c r="X78" s="110"/>
      <c r="Y78" s="110"/>
      <c r="Z78" s="110"/>
      <c r="AA78" s="110"/>
      <c r="AB78" s="140"/>
      <c r="AC78" s="3"/>
      <c r="AD78" s="3"/>
    </row>
    <row r="79" spans="1:30" x14ac:dyDescent="0.25">
      <c r="A79" s="1"/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10"/>
      <c r="W79" s="110"/>
      <c r="X79" s="110"/>
      <c r="Y79" s="110"/>
      <c r="Z79" s="110"/>
      <c r="AA79" s="110"/>
      <c r="AB79" s="140"/>
      <c r="AC79" s="3"/>
      <c r="AD79" s="3"/>
    </row>
    <row r="80" spans="1:30" x14ac:dyDescent="0.25">
      <c r="A80" s="1"/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10"/>
      <c r="W80" s="110"/>
      <c r="X80" s="110"/>
      <c r="Y80" s="110"/>
      <c r="Z80" s="110"/>
      <c r="AA80" s="110"/>
      <c r="AB80" s="140"/>
      <c r="AC80" s="3"/>
      <c r="AD80" s="3"/>
    </row>
    <row r="81" spans="1:30" x14ac:dyDescent="0.25">
      <c r="A81" s="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10"/>
      <c r="W81" s="110"/>
      <c r="X81" s="110"/>
      <c r="Y81" s="110"/>
      <c r="Z81" s="110"/>
      <c r="AA81" s="110"/>
      <c r="AB81" s="140"/>
      <c r="AC81" s="3"/>
      <c r="AD81" s="3"/>
    </row>
    <row r="82" spans="1:30" x14ac:dyDescent="0.25">
      <c r="A82" s="1"/>
      <c r="B82" s="925"/>
      <c r="C82" s="921"/>
      <c r="D82" s="921"/>
      <c r="E82" s="921"/>
      <c r="F82" s="921"/>
      <c r="G82" s="921"/>
      <c r="H82" s="921"/>
      <c r="I82" s="921"/>
      <c r="J82" s="921"/>
      <c r="K82" s="921"/>
      <c r="L82" s="921"/>
      <c r="M82" s="921"/>
      <c r="N82" s="921"/>
      <c r="O82" s="921"/>
      <c r="P82" s="921"/>
      <c r="Q82" s="921"/>
      <c r="R82" s="921"/>
      <c r="S82" s="921"/>
      <c r="T82" s="921"/>
      <c r="U82" s="921"/>
      <c r="V82" s="110"/>
      <c r="W82" s="110"/>
      <c r="X82" s="110"/>
      <c r="Y82" s="110"/>
      <c r="Z82" s="110"/>
      <c r="AA82" s="110"/>
      <c r="AB82" s="140"/>
      <c r="AC82" s="3"/>
      <c r="AD82" s="3"/>
    </row>
    <row r="83" spans="1:30" x14ac:dyDescent="0.25">
      <c r="A83" s="1"/>
      <c r="B83" s="143"/>
      <c r="C83" s="162"/>
      <c r="D83" s="162"/>
      <c r="E83" s="16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10"/>
      <c r="W83" s="110"/>
      <c r="X83" s="110"/>
      <c r="Y83" s="110"/>
      <c r="Z83" s="110"/>
      <c r="AA83" s="110"/>
      <c r="AB83" s="140"/>
      <c r="AC83" s="3"/>
      <c r="AD83" s="3"/>
    </row>
    <row r="84" spans="1:30" x14ac:dyDescent="0.25">
      <c r="A84" s="1"/>
      <c r="B84" s="161"/>
      <c r="C84" s="160"/>
      <c r="D84" s="145"/>
      <c r="E84" s="145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10"/>
      <c r="W84" s="110"/>
      <c r="X84" s="110"/>
      <c r="Y84" s="110"/>
      <c r="Z84" s="110"/>
      <c r="AA84" s="110"/>
      <c r="AB84" s="140"/>
      <c r="AC84" s="3"/>
      <c r="AD84" s="3"/>
    </row>
    <row r="85" spans="1:30" x14ac:dyDescent="0.25">
      <c r="A85" s="1"/>
      <c r="B85" s="143"/>
      <c r="C85" s="144"/>
      <c r="D85" s="145"/>
      <c r="E85" s="145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10"/>
      <c r="W85" s="110"/>
      <c r="X85" s="110"/>
      <c r="Y85" s="110"/>
      <c r="Z85" s="110"/>
      <c r="AA85" s="110"/>
      <c r="AB85" s="140"/>
      <c r="AC85" s="3"/>
      <c r="AD85" s="3"/>
    </row>
    <row r="86" spans="1:30" x14ac:dyDescent="0.25">
      <c r="A86" s="1"/>
      <c r="B86" s="143"/>
      <c r="C86" s="144"/>
      <c r="D86" s="145"/>
      <c r="E86" s="145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10"/>
      <c r="W86" s="110"/>
      <c r="X86" s="110"/>
      <c r="Y86" s="110"/>
      <c r="Z86" s="110"/>
      <c r="AA86" s="110"/>
      <c r="AB86" s="140"/>
      <c r="AC86" s="3"/>
      <c r="AD86" s="3"/>
    </row>
    <row r="87" spans="1:30" x14ac:dyDescent="0.25">
      <c r="A87" s="1"/>
      <c r="B87" s="146"/>
      <c r="C87" s="147"/>
      <c r="D87" s="148"/>
      <c r="E87" s="148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50"/>
      <c r="W87" s="150"/>
      <c r="X87" s="150"/>
      <c r="Y87" s="150"/>
      <c r="Z87" s="150"/>
      <c r="AA87" s="150"/>
      <c r="AB87" s="151"/>
      <c r="AC87" s="3"/>
      <c r="AD87" s="3"/>
    </row>
    <row r="88" spans="1:30" x14ac:dyDescent="0.25">
      <c r="A88" s="104"/>
      <c r="B88" s="152"/>
      <c r="C88" s="153"/>
      <c r="D88" s="152"/>
      <c r="E88" s="152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2"/>
      <c r="C89" s="153"/>
      <c r="D89" s="152"/>
      <c r="E89" s="152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5" t="s">
        <v>109</v>
      </c>
      <c r="C91" s="156">
        <v>44854</v>
      </c>
      <c r="D91" s="155" t="s">
        <v>110</v>
      </c>
      <c r="E91" s="921" t="s">
        <v>226</v>
      </c>
      <c r="F91" s="921"/>
      <c r="G91" s="921"/>
      <c r="H91" s="155"/>
      <c r="I91" s="155" t="s">
        <v>112</v>
      </c>
      <c r="J91" s="922" t="s">
        <v>227</v>
      </c>
      <c r="K91" s="922"/>
      <c r="L91" s="922"/>
      <c r="M91" s="922"/>
      <c r="N91" s="155"/>
      <c r="O91" s="155"/>
      <c r="P91" s="155"/>
      <c r="Q91" s="155"/>
      <c r="R91" s="155"/>
      <c r="S91" s="155"/>
      <c r="T91" s="155"/>
      <c r="U91" s="155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5"/>
      <c r="C93" s="155"/>
      <c r="D93" s="155" t="s">
        <v>114</v>
      </c>
      <c r="E93" s="157"/>
      <c r="F93" s="157"/>
      <c r="G93" s="157"/>
      <c r="H93" s="155"/>
      <c r="I93" s="155" t="s">
        <v>114</v>
      </c>
      <c r="J93" s="158"/>
      <c r="K93" s="158"/>
      <c r="L93" s="158"/>
      <c r="M93" s="158"/>
      <c r="N93" s="155"/>
      <c r="O93" s="155"/>
      <c r="P93" s="155"/>
      <c r="Q93" s="155"/>
      <c r="R93" s="155"/>
      <c r="S93" s="155"/>
      <c r="T93" s="155"/>
      <c r="U93" s="155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5"/>
      <c r="C94" s="155"/>
      <c r="D94" s="155"/>
      <c r="E94" s="157"/>
      <c r="F94" s="157"/>
      <c r="G94" s="157"/>
      <c r="H94" s="155"/>
      <c r="I94" s="155"/>
      <c r="J94" s="158"/>
      <c r="K94" s="158"/>
      <c r="L94" s="158"/>
      <c r="M94" s="158"/>
      <c r="N94" s="155"/>
      <c r="O94" s="155"/>
      <c r="P94" s="155"/>
      <c r="Q94" s="155"/>
      <c r="R94" s="155"/>
      <c r="S94" s="155"/>
      <c r="T94" s="155"/>
      <c r="U94" s="155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7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K61"/>
    <mergeCell ref="L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K62"/>
    <mergeCell ref="L62:U62"/>
    <mergeCell ref="B63:U63"/>
    <mergeCell ref="B82:U82"/>
    <mergeCell ref="E91:G91"/>
    <mergeCell ref="J91:M91"/>
  </mergeCells>
  <conditionalFormatting sqref="AB15:AB25">
    <cfRule type="cellIs" dxfId="27" priority="3" operator="equal">
      <formula>0</formula>
    </cfRule>
    <cfRule type="containsErrors" dxfId="26" priority="4">
      <formula>ISERROR(AB15)</formula>
    </cfRule>
  </conditionalFormatting>
  <conditionalFormatting sqref="AB28:AB41">
    <cfRule type="cellIs" dxfId="25" priority="1" operator="equal">
      <formula>0</formula>
    </cfRule>
    <cfRule type="containsErrors" dxfId="24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29"/>
  <sheetViews>
    <sheetView showGridLines="0" zoomScale="56" zoomScaleNormal="56" zoomScaleSheetLayoutView="76" workbookViewId="0">
      <selection activeCell="B2" sqref="B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.42578125" customWidth="1"/>
    <col min="9" max="9" width="1.28515625" customWidth="1"/>
    <col min="10" max="10" width="14.140625" customWidth="1"/>
    <col min="11" max="11" width="11.28515625" customWidth="1"/>
    <col min="12" max="12" width="16.140625" customWidth="1"/>
    <col min="13" max="13" width="17.85546875" customWidth="1"/>
    <col min="14" max="14" width="13.7109375" customWidth="1"/>
    <col min="15" max="15" width="23.42578125" style="343" customWidth="1"/>
    <col min="16" max="16" width="13.28515625" customWidth="1"/>
    <col min="17" max="17" width="11.28515625" customWidth="1"/>
    <col min="18" max="20" width="16.42578125" customWidth="1"/>
    <col min="21" max="21" width="21.140625" customWidth="1"/>
    <col min="22" max="22" width="12.42578125" customWidth="1"/>
    <col min="23" max="23" width="10.7109375" customWidth="1"/>
    <col min="24" max="24" width="16.140625" bestFit="1" customWidth="1"/>
    <col min="25" max="25" width="14.140625" bestFit="1" customWidth="1"/>
    <col min="26" max="26" width="13.140625" bestFit="1" customWidth="1"/>
    <col min="27" max="27" width="21.85546875" customWidth="1"/>
    <col min="28" max="28" width="12.5703125" customWidth="1"/>
    <col min="29" max="29" width="10.7109375" bestFit="1" customWidth="1"/>
    <col min="30" max="30" width="17.7109375" customWidth="1"/>
    <col min="31" max="31" width="5.85546875" customWidth="1"/>
    <col min="32" max="32" width="0" hidden="1" customWidth="1"/>
    <col min="33" max="16384" width="9.140625" hidden="1"/>
  </cols>
  <sheetData>
    <row r="1" spans="1:3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7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2" ht="21" x14ac:dyDescent="0.35">
      <c r="A2" s="3"/>
      <c r="B2" s="478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7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2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76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ht="21" x14ac:dyDescent="0.35">
      <c r="A4" s="3"/>
      <c r="B4" s="3" t="s">
        <v>1</v>
      </c>
      <c r="C4" s="3"/>
      <c r="D4" s="701" t="s">
        <v>228</v>
      </c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3"/>
      <c r="Y4" s="3"/>
      <c r="Z4" s="3"/>
      <c r="AA4" s="3"/>
      <c r="AB4" s="3"/>
      <c r="AC4" s="3"/>
      <c r="AD4" s="3"/>
      <c r="AE4" s="3"/>
    </row>
    <row r="5" spans="1:32" ht="3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7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2" x14ac:dyDescent="0.25">
      <c r="A6" s="3"/>
      <c r="B6" s="3" t="s">
        <v>3</v>
      </c>
      <c r="C6" s="3"/>
      <c r="D6" s="358">
        <v>46789766</v>
      </c>
      <c r="E6" s="3"/>
      <c r="F6" s="3"/>
      <c r="G6" s="3"/>
      <c r="H6" s="3"/>
      <c r="I6" s="3"/>
      <c r="J6" s="3"/>
      <c r="K6" s="3"/>
      <c r="L6" s="3"/>
      <c r="M6" s="3"/>
      <c r="N6" s="3"/>
      <c r="O6" s="476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2" ht="3.75" customHeight="1" x14ac:dyDescent="0.25">
      <c r="A7" s="3"/>
      <c r="B7" s="3"/>
      <c r="C7" s="3"/>
      <c r="D7" s="477"/>
      <c r="E7" s="3"/>
      <c r="F7" s="3"/>
      <c r="G7" s="3"/>
      <c r="H7" s="3"/>
      <c r="I7" s="3"/>
      <c r="J7" s="3"/>
      <c r="K7" s="3"/>
      <c r="L7" s="3"/>
      <c r="M7" s="3"/>
      <c r="N7" s="3"/>
      <c r="O7" s="476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2" x14ac:dyDescent="0.25">
      <c r="A8" s="3"/>
      <c r="B8" s="3" t="s">
        <v>4</v>
      </c>
      <c r="C8" s="3"/>
      <c r="D8" s="702" t="s">
        <v>229</v>
      </c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2"/>
      <c r="P8" s="702"/>
      <c r="Q8" s="702"/>
      <c r="R8" s="702"/>
      <c r="S8" s="702"/>
      <c r="T8" s="702"/>
      <c r="U8" s="702"/>
      <c r="V8" s="702"/>
      <c r="W8" s="702"/>
      <c r="X8" s="3"/>
      <c r="Y8" s="3"/>
      <c r="Z8" s="3"/>
      <c r="AA8" s="3"/>
      <c r="AB8" s="3"/>
      <c r="AC8" s="3"/>
      <c r="AD8" s="3"/>
      <c r="AE8" s="3"/>
    </row>
    <row r="9" spans="1:32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76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2" ht="29.25" customHeight="1" thickBot="1" x14ac:dyDescent="0.3">
      <c r="A10" s="3"/>
      <c r="B10" s="879" t="s">
        <v>6</v>
      </c>
      <c r="C10" s="864" t="s">
        <v>7</v>
      </c>
      <c r="D10" s="831" t="s">
        <v>8</v>
      </c>
      <c r="E10" s="832"/>
      <c r="F10" s="832"/>
      <c r="G10" s="832"/>
      <c r="H10" s="832"/>
      <c r="I10" s="832"/>
      <c r="J10" s="832"/>
      <c r="K10" s="833"/>
      <c r="L10" s="831" t="s">
        <v>9</v>
      </c>
      <c r="M10" s="832"/>
      <c r="N10" s="832"/>
      <c r="O10" s="832"/>
      <c r="P10" s="832"/>
      <c r="Q10" s="833"/>
      <c r="R10" s="831" t="s">
        <v>10</v>
      </c>
      <c r="S10" s="832"/>
      <c r="T10" s="832"/>
      <c r="U10" s="832"/>
      <c r="V10" s="832"/>
      <c r="W10" s="833"/>
      <c r="X10" s="996" t="s">
        <v>230</v>
      </c>
      <c r="Y10" s="997"/>
      <c r="Z10" s="997"/>
      <c r="AA10" s="997"/>
      <c r="AB10" s="997"/>
      <c r="AC10" s="998"/>
      <c r="AD10" s="849" t="s">
        <v>12</v>
      </c>
      <c r="AE10" s="3"/>
      <c r="AF10" s="3"/>
    </row>
    <row r="11" spans="1:32" ht="30.75" customHeight="1" thickBot="1" x14ac:dyDescent="0.3">
      <c r="A11" s="3"/>
      <c r="B11" s="880"/>
      <c r="C11" s="865"/>
      <c r="D11" s="852" t="s">
        <v>13</v>
      </c>
      <c r="E11" s="853"/>
      <c r="F11" s="853"/>
      <c r="G11" s="854"/>
      <c r="H11" s="703"/>
      <c r="I11" s="703"/>
      <c r="J11" s="475" t="s">
        <v>14</v>
      </c>
      <c r="K11" s="475" t="s">
        <v>15</v>
      </c>
      <c r="L11" s="852" t="s">
        <v>13</v>
      </c>
      <c r="M11" s="853"/>
      <c r="N11" s="853"/>
      <c r="O11" s="854"/>
      <c r="P11" s="475" t="s">
        <v>14</v>
      </c>
      <c r="Q11" s="475" t="s">
        <v>15</v>
      </c>
      <c r="R11" s="852" t="s">
        <v>13</v>
      </c>
      <c r="S11" s="853"/>
      <c r="T11" s="853"/>
      <c r="U11" s="854"/>
      <c r="V11" s="475" t="s">
        <v>14</v>
      </c>
      <c r="W11" s="475" t="s">
        <v>15</v>
      </c>
      <c r="X11" s="852" t="s">
        <v>13</v>
      </c>
      <c r="Y11" s="853"/>
      <c r="Z11" s="853"/>
      <c r="AA11" s="854"/>
      <c r="AB11" s="475" t="s">
        <v>14</v>
      </c>
      <c r="AC11" s="475" t="s">
        <v>15</v>
      </c>
      <c r="AD11" s="850"/>
      <c r="AE11" s="3"/>
      <c r="AF11" s="3"/>
    </row>
    <row r="12" spans="1:32" ht="15.75" customHeight="1" thickBot="1" x14ac:dyDescent="0.3">
      <c r="A12" s="3"/>
      <c r="B12" s="880"/>
      <c r="C12" s="866"/>
      <c r="D12" s="855" t="s">
        <v>16</v>
      </c>
      <c r="E12" s="856"/>
      <c r="F12" s="856"/>
      <c r="G12" s="856"/>
      <c r="H12" s="856"/>
      <c r="I12" s="856"/>
      <c r="J12" s="856"/>
      <c r="K12" s="857"/>
      <c r="L12" s="855" t="s">
        <v>16</v>
      </c>
      <c r="M12" s="856"/>
      <c r="N12" s="856"/>
      <c r="O12" s="856"/>
      <c r="P12" s="856"/>
      <c r="Q12" s="857"/>
      <c r="R12" s="855" t="s">
        <v>16</v>
      </c>
      <c r="S12" s="856"/>
      <c r="T12" s="856"/>
      <c r="U12" s="856"/>
      <c r="V12" s="856"/>
      <c r="W12" s="857"/>
      <c r="X12" s="855" t="s">
        <v>16</v>
      </c>
      <c r="Y12" s="856"/>
      <c r="Z12" s="856"/>
      <c r="AA12" s="856"/>
      <c r="AB12" s="856"/>
      <c r="AC12" s="857"/>
      <c r="AD12" s="850"/>
      <c r="AE12" s="3"/>
      <c r="AF12" s="3"/>
    </row>
    <row r="13" spans="1:32" ht="15.75" customHeight="1" thickBot="1" x14ac:dyDescent="0.3">
      <c r="A13" s="3"/>
      <c r="B13" s="881"/>
      <c r="C13" s="867"/>
      <c r="D13" s="858" t="s">
        <v>17</v>
      </c>
      <c r="E13" s="859"/>
      <c r="F13" s="859"/>
      <c r="G13" s="999" t="s">
        <v>18</v>
      </c>
      <c r="H13" s="704"/>
      <c r="I13" s="705"/>
      <c r="J13" s="840" t="s">
        <v>19</v>
      </c>
      <c r="K13" s="860" t="s">
        <v>16</v>
      </c>
      <c r="L13" s="858" t="s">
        <v>17</v>
      </c>
      <c r="M13" s="859"/>
      <c r="N13" s="859"/>
      <c r="O13" s="838" t="s">
        <v>18</v>
      </c>
      <c r="P13" s="840" t="s">
        <v>19</v>
      </c>
      <c r="Q13" s="860" t="s">
        <v>16</v>
      </c>
      <c r="R13" s="858" t="s">
        <v>17</v>
      </c>
      <c r="S13" s="859"/>
      <c r="T13" s="859"/>
      <c r="U13" s="838" t="s">
        <v>18</v>
      </c>
      <c r="V13" s="840" t="s">
        <v>19</v>
      </c>
      <c r="W13" s="860" t="s">
        <v>16</v>
      </c>
      <c r="X13" s="858" t="s">
        <v>17</v>
      </c>
      <c r="Y13" s="859"/>
      <c r="Z13" s="859"/>
      <c r="AA13" s="838" t="s">
        <v>18</v>
      </c>
      <c r="AB13" s="840" t="s">
        <v>19</v>
      </c>
      <c r="AC13" s="860" t="s">
        <v>16</v>
      </c>
      <c r="AD13" s="850"/>
      <c r="AE13" s="3"/>
      <c r="AF13" s="3"/>
    </row>
    <row r="14" spans="1:32" ht="15.75" thickBot="1" x14ac:dyDescent="0.3">
      <c r="A14" s="3"/>
      <c r="B14" s="474"/>
      <c r="C14" s="473"/>
      <c r="D14" s="472" t="s">
        <v>20</v>
      </c>
      <c r="E14" s="471" t="s">
        <v>21</v>
      </c>
      <c r="F14" s="471" t="s">
        <v>22</v>
      </c>
      <c r="G14" s="1000"/>
      <c r="H14" s="706"/>
      <c r="I14" s="707"/>
      <c r="J14" s="841"/>
      <c r="K14" s="861"/>
      <c r="L14" s="472" t="s">
        <v>20</v>
      </c>
      <c r="M14" s="471" t="s">
        <v>21</v>
      </c>
      <c r="N14" s="471" t="s">
        <v>22</v>
      </c>
      <c r="O14" s="839"/>
      <c r="P14" s="841"/>
      <c r="Q14" s="861"/>
      <c r="R14" s="472" t="s">
        <v>20</v>
      </c>
      <c r="S14" s="471" t="s">
        <v>21</v>
      </c>
      <c r="T14" s="471" t="s">
        <v>22</v>
      </c>
      <c r="U14" s="839"/>
      <c r="V14" s="841"/>
      <c r="W14" s="861"/>
      <c r="X14" s="472" t="s">
        <v>20</v>
      </c>
      <c r="Y14" s="471" t="s">
        <v>21</v>
      </c>
      <c r="Z14" s="471" t="s">
        <v>22</v>
      </c>
      <c r="AA14" s="839"/>
      <c r="AB14" s="841"/>
      <c r="AC14" s="861"/>
      <c r="AD14" s="851"/>
      <c r="AE14" s="3"/>
      <c r="AF14" s="3"/>
    </row>
    <row r="15" spans="1:32" x14ac:dyDescent="0.25">
      <c r="A15" s="3"/>
      <c r="B15" s="433" t="s">
        <v>23</v>
      </c>
      <c r="C15" s="432" t="s">
        <v>24</v>
      </c>
      <c r="D15" s="708"/>
      <c r="E15" s="709"/>
      <c r="F15" s="710">
        <f>1201+1.2+71.9+0.5+5.4</f>
        <v>1280.0000000000002</v>
      </c>
      <c r="G15" s="711">
        <f>SUM(D15:F15)</f>
        <v>1280.0000000000002</v>
      </c>
      <c r="H15" s="712"/>
      <c r="I15" s="713"/>
      <c r="J15" s="714">
        <v>98</v>
      </c>
      <c r="K15" s="715">
        <f>G15+J15</f>
        <v>1378.0000000000002</v>
      </c>
      <c r="L15" s="708"/>
      <c r="M15" s="709"/>
      <c r="N15" s="710">
        <v>1800</v>
      </c>
      <c r="O15" s="711">
        <f t="shared" ref="O15:O23" si="0">SUM(L15:N15)</f>
        <v>1800</v>
      </c>
      <c r="P15" s="714">
        <v>260</v>
      </c>
      <c r="Q15" s="715">
        <f>O15+P15</f>
        <v>2060</v>
      </c>
      <c r="R15" s="708"/>
      <c r="S15" s="709"/>
      <c r="T15" s="710">
        <v>1184.8</v>
      </c>
      <c r="U15" s="711">
        <f>SUM(R15:T15)</f>
        <v>1184.8</v>
      </c>
      <c r="V15" s="714">
        <v>156.4</v>
      </c>
      <c r="W15" s="715">
        <f>U15+V15</f>
        <v>1341.2</v>
      </c>
      <c r="X15" s="708"/>
      <c r="Y15" s="709"/>
      <c r="Z15" s="710">
        <v>2000</v>
      </c>
      <c r="AA15" s="711">
        <f>SUM(X15:Z15)</f>
        <v>2000</v>
      </c>
      <c r="AB15" s="714">
        <f>P15*1.1</f>
        <v>286</v>
      </c>
      <c r="AC15" s="715">
        <f>AA15+AB15</f>
        <v>2286</v>
      </c>
      <c r="AD15" s="389">
        <f>(AC15/Q15)</f>
        <v>1.1097087378640778</v>
      </c>
      <c r="AE15" s="3"/>
      <c r="AF15" s="3"/>
    </row>
    <row r="16" spans="1:32" x14ac:dyDescent="0.25">
      <c r="A16" s="3"/>
      <c r="B16" s="418" t="s">
        <v>25</v>
      </c>
      <c r="C16" s="466" t="s">
        <v>26</v>
      </c>
      <c r="D16" s="716">
        <v>4357.3999999999996</v>
      </c>
      <c r="E16" s="717"/>
      <c r="F16" s="717"/>
      <c r="G16" s="711">
        <f t="shared" ref="G16:G17" si="1">SUM(D16:F16)</f>
        <v>4357.3999999999996</v>
      </c>
      <c r="H16" s="712"/>
      <c r="I16" s="713"/>
      <c r="J16" s="718">
        <v>0</v>
      </c>
      <c r="K16" s="715">
        <f t="shared" ref="K16:K23" si="2">G16+J16</f>
        <v>4357.3999999999996</v>
      </c>
      <c r="L16" s="716">
        <v>5060</v>
      </c>
      <c r="M16" s="717"/>
      <c r="N16" s="717"/>
      <c r="O16" s="719">
        <f t="shared" si="0"/>
        <v>5060</v>
      </c>
      <c r="P16" s="718"/>
      <c r="Q16" s="715">
        <f t="shared" ref="Q16:Q20" si="3">O16+P16</f>
        <v>5060</v>
      </c>
      <c r="R16" s="716">
        <v>2585</v>
      </c>
      <c r="S16" s="717"/>
      <c r="T16" s="717"/>
      <c r="U16" s="719">
        <f t="shared" ref="U16:U23" si="4">SUM(R16:T16)</f>
        <v>2585</v>
      </c>
      <c r="V16" s="718"/>
      <c r="W16" s="715">
        <f t="shared" ref="W16:W20" si="5">U16+V16</f>
        <v>2585</v>
      </c>
      <c r="X16" s="720">
        <f>5060+130+3+10+344.7+200</f>
        <v>5747.7</v>
      </c>
      <c r="Y16" s="717"/>
      <c r="Z16" s="717"/>
      <c r="AA16" s="719">
        <f t="shared" ref="AA16:AA23" si="6">SUM(X16:Z16)</f>
        <v>5747.7</v>
      </c>
      <c r="AB16" s="718"/>
      <c r="AC16" s="715">
        <f t="shared" ref="AC16:AC20" si="7">AA16+AB16</f>
        <v>5747.7</v>
      </c>
      <c r="AD16" s="389">
        <f t="shared" ref="AD16:AD24" si="8">(AC16/Q16)</f>
        <v>1.135909090909091</v>
      </c>
      <c r="AE16" s="3"/>
      <c r="AF16" s="3"/>
    </row>
    <row r="17" spans="1:32" x14ac:dyDescent="0.25">
      <c r="A17" s="3"/>
      <c r="B17" s="418" t="s">
        <v>27</v>
      </c>
      <c r="C17" s="463" t="s">
        <v>28</v>
      </c>
      <c r="D17" s="721">
        <f>736.2-64-24.5</f>
        <v>647.70000000000005</v>
      </c>
      <c r="E17" s="717"/>
      <c r="F17" s="717"/>
      <c r="G17" s="711">
        <f t="shared" si="1"/>
        <v>647.70000000000005</v>
      </c>
      <c r="H17" s="712"/>
      <c r="I17" s="713"/>
      <c r="J17" s="722">
        <v>0</v>
      </c>
      <c r="K17" s="715">
        <f>G17+J17</f>
        <v>647.70000000000005</v>
      </c>
      <c r="L17" s="721">
        <v>1860.7</v>
      </c>
      <c r="M17" s="717"/>
      <c r="N17" s="717"/>
      <c r="O17" s="719">
        <f t="shared" si="0"/>
        <v>1860.7</v>
      </c>
      <c r="P17" s="722"/>
      <c r="Q17" s="715">
        <f t="shared" si="3"/>
        <v>1860.7</v>
      </c>
      <c r="R17" s="721">
        <v>501.6</v>
      </c>
      <c r="S17" s="717"/>
      <c r="T17" s="717"/>
      <c r="U17" s="719">
        <f t="shared" si="4"/>
        <v>501.6</v>
      </c>
      <c r="V17" s="722"/>
      <c r="W17" s="715">
        <f t="shared" si="5"/>
        <v>501.6</v>
      </c>
      <c r="X17" s="721">
        <f>181+216.4+41.9+44</f>
        <v>483.29999999999995</v>
      </c>
      <c r="Y17" s="717"/>
      <c r="Z17" s="717"/>
      <c r="AA17" s="719">
        <f t="shared" si="6"/>
        <v>483.29999999999995</v>
      </c>
      <c r="AB17" s="722"/>
      <c r="AC17" s="715">
        <f t="shared" si="7"/>
        <v>483.29999999999995</v>
      </c>
      <c r="AD17" s="389">
        <f t="shared" si="8"/>
        <v>0.25974095770408984</v>
      </c>
      <c r="AE17" s="3"/>
      <c r="AF17" s="3"/>
    </row>
    <row r="18" spans="1:32" x14ac:dyDescent="0.25">
      <c r="A18" s="3"/>
      <c r="B18" s="418" t="s">
        <v>29</v>
      </c>
      <c r="C18" s="461" t="s">
        <v>30</v>
      </c>
      <c r="D18" s="723"/>
      <c r="E18" s="724">
        <f>43362+410</f>
        <v>43772</v>
      </c>
      <c r="F18" s="717"/>
      <c r="G18" s="719">
        <f t="shared" ref="G18:G23" si="9">SUM(D18:F18)</f>
        <v>43772</v>
      </c>
      <c r="H18" s="712"/>
      <c r="I18" s="713"/>
      <c r="J18" s="714">
        <v>0</v>
      </c>
      <c r="K18" s="715">
        <f t="shared" si="2"/>
        <v>43772</v>
      </c>
      <c r="L18" s="723"/>
      <c r="M18" s="724">
        <v>44412.1</v>
      </c>
      <c r="N18" s="717"/>
      <c r="O18" s="719">
        <f t="shared" si="0"/>
        <v>44412.1</v>
      </c>
      <c r="P18" s="714">
        <v>0</v>
      </c>
      <c r="Q18" s="715">
        <f t="shared" si="3"/>
        <v>44412.1</v>
      </c>
      <c r="R18" s="723"/>
      <c r="S18" s="724">
        <v>22257.1</v>
      </c>
      <c r="T18" s="717"/>
      <c r="U18" s="719">
        <f t="shared" si="4"/>
        <v>22257.1</v>
      </c>
      <c r="V18" s="714">
        <v>0</v>
      </c>
      <c r="W18" s="715">
        <f t="shared" si="5"/>
        <v>22257.1</v>
      </c>
      <c r="X18" s="723"/>
      <c r="Y18" s="724">
        <f>31323.6+10618.7+626.5+120+950+4766.7</f>
        <v>48405.5</v>
      </c>
      <c r="Z18" s="717"/>
      <c r="AA18" s="719">
        <f t="shared" si="6"/>
        <v>48405.5</v>
      </c>
      <c r="AB18" s="714">
        <v>0</v>
      </c>
      <c r="AC18" s="715">
        <f t="shared" si="7"/>
        <v>48405.5</v>
      </c>
      <c r="AD18" s="389">
        <f t="shared" si="8"/>
        <v>1.0899169370509389</v>
      </c>
      <c r="AE18" s="3"/>
      <c r="AF18" s="3"/>
    </row>
    <row r="19" spans="1:32" x14ac:dyDescent="0.25">
      <c r="A19" s="3"/>
      <c r="B19" s="418" t="s">
        <v>31</v>
      </c>
      <c r="C19" s="427" t="s">
        <v>32</v>
      </c>
      <c r="D19" s="723"/>
      <c r="E19" s="717"/>
      <c r="F19" s="724">
        <v>893</v>
      </c>
      <c r="G19" s="719">
        <f t="shared" si="9"/>
        <v>893</v>
      </c>
      <c r="H19" s="712"/>
      <c r="I19" s="713"/>
      <c r="J19" s="714">
        <v>0</v>
      </c>
      <c r="K19" s="715">
        <f>G19+J19</f>
        <v>893</v>
      </c>
      <c r="L19" s="723"/>
      <c r="M19" s="717"/>
      <c r="N19" s="724">
        <v>892</v>
      </c>
      <c r="O19" s="719">
        <f t="shared" si="0"/>
        <v>892</v>
      </c>
      <c r="P19" s="714">
        <v>0</v>
      </c>
      <c r="Q19" s="715">
        <f t="shared" si="3"/>
        <v>892</v>
      </c>
      <c r="R19" s="723"/>
      <c r="S19" s="717"/>
      <c r="T19" s="724">
        <v>448.7</v>
      </c>
      <c r="U19" s="719">
        <f t="shared" si="4"/>
        <v>448.7</v>
      </c>
      <c r="V19" s="714">
        <v>0</v>
      </c>
      <c r="W19" s="715">
        <f t="shared" si="5"/>
        <v>448.7</v>
      </c>
      <c r="X19" s="723"/>
      <c r="Y19" s="717"/>
      <c r="Z19" s="724">
        <v>897.3</v>
      </c>
      <c r="AA19" s="719">
        <f t="shared" si="6"/>
        <v>897.3</v>
      </c>
      <c r="AB19" s="714">
        <v>0</v>
      </c>
      <c r="AC19" s="715">
        <f t="shared" si="7"/>
        <v>897.3</v>
      </c>
      <c r="AD19" s="389">
        <f t="shared" si="8"/>
        <v>1.0059417040358745</v>
      </c>
      <c r="AE19" s="3"/>
      <c r="AF19" s="3"/>
    </row>
    <row r="20" spans="1:32" x14ac:dyDescent="0.25">
      <c r="A20" s="3"/>
      <c r="B20" s="418" t="s">
        <v>33</v>
      </c>
      <c r="C20" s="458" t="s">
        <v>34</v>
      </c>
      <c r="D20" s="723"/>
      <c r="E20" s="717">
        <v>503.8</v>
      </c>
      <c r="F20" s="724">
        <v>4.0999999999999996</v>
      </c>
      <c r="G20" s="719">
        <f t="shared" si="9"/>
        <v>507.90000000000003</v>
      </c>
      <c r="H20" s="712"/>
      <c r="I20" s="713"/>
      <c r="J20" s="714">
        <v>0</v>
      </c>
      <c r="K20" s="715">
        <f t="shared" si="2"/>
        <v>507.90000000000003</v>
      </c>
      <c r="L20" s="723"/>
      <c r="M20" s="717"/>
      <c r="N20" s="724">
        <v>120</v>
      </c>
      <c r="O20" s="719">
        <f t="shared" si="0"/>
        <v>120</v>
      </c>
      <c r="P20" s="714">
        <v>0</v>
      </c>
      <c r="Q20" s="715">
        <f t="shared" si="3"/>
        <v>120</v>
      </c>
      <c r="R20" s="723"/>
      <c r="S20" s="717"/>
      <c r="T20" s="724">
        <v>331</v>
      </c>
      <c r="U20" s="719">
        <f t="shared" si="4"/>
        <v>331</v>
      </c>
      <c r="V20" s="714">
        <v>0</v>
      </c>
      <c r="W20" s="715">
        <f t="shared" si="5"/>
        <v>331</v>
      </c>
      <c r="X20" s="723"/>
      <c r="Y20" s="717"/>
      <c r="Z20" s="724">
        <v>100</v>
      </c>
      <c r="AA20" s="719">
        <f t="shared" si="6"/>
        <v>100</v>
      </c>
      <c r="AB20" s="714">
        <v>0</v>
      </c>
      <c r="AC20" s="715">
        <f t="shared" si="7"/>
        <v>100</v>
      </c>
      <c r="AD20" s="389">
        <f t="shared" si="8"/>
        <v>0.83333333333333337</v>
      </c>
      <c r="AE20" s="3"/>
      <c r="AF20" s="3"/>
    </row>
    <row r="21" spans="1:32" x14ac:dyDescent="0.25">
      <c r="A21" s="3"/>
      <c r="B21" s="418" t="s">
        <v>35</v>
      </c>
      <c r="C21" s="423" t="s">
        <v>36</v>
      </c>
      <c r="D21" s="723"/>
      <c r="E21" s="717"/>
      <c r="F21" s="724">
        <v>22.3</v>
      </c>
      <c r="G21" s="719">
        <f t="shared" si="9"/>
        <v>22.3</v>
      </c>
      <c r="H21" s="725"/>
      <c r="I21" s="713"/>
      <c r="J21" s="726">
        <v>224.1</v>
      </c>
      <c r="K21" s="715">
        <f>G21+J21</f>
        <v>246.4</v>
      </c>
      <c r="L21" s="723"/>
      <c r="M21" s="717"/>
      <c r="N21" s="724">
        <v>200</v>
      </c>
      <c r="O21" s="719">
        <f t="shared" si="0"/>
        <v>200</v>
      </c>
      <c r="P21" s="726">
        <v>187</v>
      </c>
      <c r="Q21" s="715">
        <f>O21+P21</f>
        <v>387</v>
      </c>
      <c r="R21" s="723"/>
      <c r="S21" s="717"/>
      <c r="T21" s="724">
        <v>56</v>
      </c>
      <c r="U21" s="719">
        <f t="shared" si="4"/>
        <v>56</v>
      </c>
      <c r="V21" s="726">
        <v>101.6</v>
      </c>
      <c r="W21" s="715">
        <f>U21+V21</f>
        <v>157.6</v>
      </c>
      <c r="X21" s="723"/>
      <c r="Y21" s="717"/>
      <c r="Z21" s="724">
        <v>190</v>
      </c>
      <c r="AA21" s="719">
        <f t="shared" si="6"/>
        <v>190</v>
      </c>
      <c r="AB21" s="726">
        <v>196</v>
      </c>
      <c r="AC21" s="715">
        <f>AA21+AB21</f>
        <v>386</v>
      </c>
      <c r="AD21" s="389">
        <f t="shared" si="8"/>
        <v>0.99741602067183466</v>
      </c>
      <c r="AE21" s="3"/>
      <c r="AF21" s="3"/>
    </row>
    <row r="22" spans="1:32" x14ac:dyDescent="0.25">
      <c r="A22" s="3"/>
      <c r="B22" s="418" t="s">
        <v>37</v>
      </c>
      <c r="C22" s="423" t="s">
        <v>38</v>
      </c>
      <c r="D22" s="723"/>
      <c r="E22" s="717"/>
      <c r="F22" s="724">
        <v>0</v>
      </c>
      <c r="G22" s="719">
        <f t="shared" si="9"/>
        <v>0</v>
      </c>
      <c r="H22" s="725"/>
      <c r="I22" s="713"/>
      <c r="J22" s="726">
        <v>224.1</v>
      </c>
      <c r="K22" s="715">
        <f t="shared" si="2"/>
        <v>224.1</v>
      </c>
      <c r="L22" s="723"/>
      <c r="M22" s="717"/>
      <c r="N22" s="724">
        <v>0</v>
      </c>
      <c r="O22" s="719">
        <f t="shared" si="0"/>
        <v>0</v>
      </c>
      <c r="P22" s="726">
        <v>187</v>
      </c>
      <c r="Q22" s="715">
        <f t="shared" ref="Q22:Q23" si="10">O22+P22</f>
        <v>187</v>
      </c>
      <c r="R22" s="723"/>
      <c r="S22" s="717"/>
      <c r="T22" s="724"/>
      <c r="U22" s="719">
        <f t="shared" si="4"/>
        <v>0</v>
      </c>
      <c r="V22" s="726">
        <v>101.6</v>
      </c>
      <c r="W22" s="715">
        <f t="shared" ref="W22:W23" si="11">U22+V22</f>
        <v>101.6</v>
      </c>
      <c r="X22" s="723"/>
      <c r="Y22" s="717"/>
      <c r="Z22" s="724">
        <v>0</v>
      </c>
      <c r="AA22" s="719">
        <f t="shared" si="6"/>
        <v>0</v>
      </c>
      <c r="AB22" s="726">
        <v>196</v>
      </c>
      <c r="AC22" s="715">
        <f t="shared" ref="AC22:AC23" si="12">AA22+AB22</f>
        <v>196</v>
      </c>
      <c r="AD22" s="389">
        <f t="shared" si="8"/>
        <v>1.0481283422459893</v>
      </c>
      <c r="AE22" s="3"/>
      <c r="AF22" s="3"/>
    </row>
    <row r="23" spans="1:32" ht="15.75" thickBot="1" x14ac:dyDescent="0.3">
      <c r="A23" s="3"/>
      <c r="B23" s="452" t="s">
        <v>39</v>
      </c>
      <c r="C23" s="451" t="s">
        <v>40</v>
      </c>
      <c r="D23" s="727"/>
      <c r="E23" s="728"/>
      <c r="F23" s="729">
        <v>0</v>
      </c>
      <c r="G23" s="719">
        <f t="shared" si="9"/>
        <v>0</v>
      </c>
      <c r="H23" s="730"/>
      <c r="I23" s="713"/>
      <c r="J23" s="731"/>
      <c r="K23" s="732">
        <f t="shared" si="2"/>
        <v>0</v>
      </c>
      <c r="L23" s="727"/>
      <c r="M23" s="728"/>
      <c r="N23" s="729">
        <v>0</v>
      </c>
      <c r="O23" s="733">
        <f t="shared" si="0"/>
        <v>0</v>
      </c>
      <c r="P23" s="731">
        <v>0</v>
      </c>
      <c r="Q23" s="732">
        <f t="shared" si="10"/>
        <v>0</v>
      </c>
      <c r="R23" s="727"/>
      <c r="S23" s="728"/>
      <c r="T23" s="729"/>
      <c r="U23" s="733">
        <f t="shared" si="4"/>
        <v>0</v>
      </c>
      <c r="V23" s="731">
        <v>0</v>
      </c>
      <c r="W23" s="732">
        <f t="shared" si="11"/>
        <v>0</v>
      </c>
      <c r="X23" s="727"/>
      <c r="Y23" s="728"/>
      <c r="Z23" s="729">
        <v>0</v>
      </c>
      <c r="AA23" s="733">
        <f t="shared" si="6"/>
        <v>0</v>
      </c>
      <c r="AB23" s="731">
        <v>0</v>
      </c>
      <c r="AC23" s="732">
        <f t="shared" si="12"/>
        <v>0</v>
      </c>
      <c r="AD23" s="411" t="e">
        <f t="shared" si="8"/>
        <v>#DIV/0!</v>
      </c>
      <c r="AE23" s="3"/>
      <c r="AF23" s="3"/>
    </row>
    <row r="24" spans="1:32" ht="15.75" thickBot="1" x14ac:dyDescent="0.3">
      <c r="A24" s="3"/>
      <c r="B24" s="410" t="s">
        <v>41</v>
      </c>
      <c r="C24" s="444" t="s">
        <v>42</v>
      </c>
      <c r="D24" s="734">
        <f>SUM(D15:D21)</f>
        <v>5005.0999999999995</v>
      </c>
      <c r="E24" s="735">
        <f>SUM(E15:E21)</f>
        <v>44275.8</v>
      </c>
      <c r="F24" s="735">
        <f>SUM(F15:F21)</f>
        <v>2199.4</v>
      </c>
      <c r="G24" s="736">
        <f>SUM(D24:F24)</f>
        <v>51480.3</v>
      </c>
      <c r="H24" s="737"/>
      <c r="I24" s="738"/>
      <c r="J24" s="739">
        <f>SUM(J15:J21)</f>
        <v>322.10000000000002</v>
      </c>
      <c r="K24" s="739">
        <f>SUM(K15:K21)</f>
        <v>51802.400000000001</v>
      </c>
      <c r="L24" s="734">
        <f>SUM(L15:L21)</f>
        <v>6920.7</v>
      </c>
      <c r="M24" s="735">
        <f>SUM(M15:M21)</f>
        <v>44412.1</v>
      </c>
      <c r="N24" s="735">
        <f>SUM(N15:N21)</f>
        <v>3012</v>
      </c>
      <c r="O24" s="736">
        <f>SUM(L24:N24)</f>
        <v>54344.799999999996</v>
      </c>
      <c r="P24" s="739">
        <f>SUM(P15:P21)</f>
        <v>447</v>
      </c>
      <c r="Q24" s="739">
        <f>SUM(Q15:Q21)</f>
        <v>54791.8</v>
      </c>
      <c r="R24" s="734">
        <f>SUM(R15:R21)</f>
        <v>3086.6</v>
      </c>
      <c r="S24" s="735">
        <f>SUM(S15:S21)</f>
        <v>22257.1</v>
      </c>
      <c r="T24" s="735">
        <f>SUM(T15:T21)</f>
        <v>2020.5</v>
      </c>
      <c r="U24" s="736">
        <f>SUM(R24:T24)</f>
        <v>27364.199999999997</v>
      </c>
      <c r="V24" s="739">
        <f>SUM(V15:V21)</f>
        <v>258</v>
      </c>
      <c r="W24" s="739">
        <f>SUM(W15:W21)</f>
        <v>27622.199999999997</v>
      </c>
      <c r="X24" s="734">
        <f>SUM(X15:X21)</f>
        <v>6231</v>
      </c>
      <c r="Y24" s="735">
        <f>SUM(Y15:Y21)</f>
        <v>48405.5</v>
      </c>
      <c r="Z24" s="735">
        <f>SUM(Z15:Z23)</f>
        <v>3187.3</v>
      </c>
      <c r="AA24" s="736">
        <f>SUM(X24:Z24)</f>
        <v>57823.8</v>
      </c>
      <c r="AB24" s="739">
        <f>SUM(AB15:AB21)</f>
        <v>482</v>
      </c>
      <c r="AC24" s="739">
        <f>SUM(AC15:AC21)</f>
        <v>58305.8</v>
      </c>
      <c r="AD24" s="439">
        <f t="shared" si="8"/>
        <v>1.0641336842374225</v>
      </c>
      <c r="AE24" s="3"/>
      <c r="AF24" s="3"/>
    </row>
    <row r="25" spans="1:32" ht="15.75" customHeight="1" thickBot="1" x14ac:dyDescent="0.3">
      <c r="A25" s="3"/>
      <c r="B25" s="438"/>
      <c r="C25" s="437"/>
      <c r="D25" s="834" t="s">
        <v>43</v>
      </c>
      <c r="E25" s="835"/>
      <c r="F25" s="835"/>
      <c r="G25" s="836"/>
      <c r="H25" s="836"/>
      <c r="I25" s="836"/>
      <c r="J25" s="836"/>
      <c r="K25" s="837"/>
      <c r="L25" s="834" t="s">
        <v>43</v>
      </c>
      <c r="M25" s="835"/>
      <c r="N25" s="835"/>
      <c r="O25" s="836"/>
      <c r="P25" s="836"/>
      <c r="Q25" s="837"/>
      <c r="R25" s="834" t="s">
        <v>43</v>
      </c>
      <c r="S25" s="835"/>
      <c r="T25" s="835"/>
      <c r="U25" s="836"/>
      <c r="V25" s="836"/>
      <c r="W25" s="837"/>
      <c r="X25" s="834" t="s">
        <v>43</v>
      </c>
      <c r="Y25" s="835"/>
      <c r="Z25" s="835"/>
      <c r="AA25" s="836"/>
      <c r="AB25" s="836"/>
      <c r="AC25" s="837"/>
      <c r="AD25" s="991" t="s">
        <v>12</v>
      </c>
      <c r="AE25" s="3"/>
      <c r="AF25" s="3"/>
    </row>
    <row r="26" spans="1:32" ht="15.75" thickBot="1" x14ac:dyDescent="0.3">
      <c r="A26" s="3"/>
      <c r="B26" s="877" t="s">
        <v>6</v>
      </c>
      <c r="C26" s="864" t="s">
        <v>7</v>
      </c>
      <c r="D26" s="989" t="s">
        <v>231</v>
      </c>
      <c r="E26" s="990"/>
      <c r="F26" s="990"/>
      <c r="G26" s="994" t="s">
        <v>45</v>
      </c>
      <c r="H26" s="740"/>
      <c r="I26" s="740"/>
      <c r="J26" s="985" t="s">
        <v>46</v>
      </c>
      <c r="K26" s="987" t="s">
        <v>43</v>
      </c>
      <c r="L26" s="989" t="s">
        <v>231</v>
      </c>
      <c r="M26" s="990"/>
      <c r="N26" s="990"/>
      <c r="O26" s="983" t="s">
        <v>45</v>
      </c>
      <c r="P26" s="985" t="s">
        <v>46</v>
      </c>
      <c r="Q26" s="987" t="s">
        <v>43</v>
      </c>
      <c r="R26" s="989" t="s">
        <v>231</v>
      </c>
      <c r="S26" s="990"/>
      <c r="T26" s="990"/>
      <c r="U26" s="983" t="s">
        <v>45</v>
      </c>
      <c r="V26" s="985" t="s">
        <v>46</v>
      </c>
      <c r="W26" s="987" t="s">
        <v>43</v>
      </c>
      <c r="X26" s="989" t="s">
        <v>231</v>
      </c>
      <c r="Y26" s="990"/>
      <c r="Z26" s="990"/>
      <c r="AA26" s="983" t="s">
        <v>45</v>
      </c>
      <c r="AB26" s="985" t="s">
        <v>46</v>
      </c>
      <c r="AC26" s="987" t="s">
        <v>43</v>
      </c>
      <c r="AD26" s="992"/>
      <c r="AE26" s="3"/>
      <c r="AF26" s="3"/>
    </row>
    <row r="27" spans="1:32" ht="15.75" thickBot="1" x14ac:dyDescent="0.3">
      <c r="A27" s="3"/>
      <c r="B27" s="878"/>
      <c r="C27" s="865"/>
      <c r="D27" s="741" t="s">
        <v>47</v>
      </c>
      <c r="E27" s="742" t="s">
        <v>48</v>
      </c>
      <c r="F27" s="743" t="s">
        <v>49</v>
      </c>
      <c r="G27" s="995"/>
      <c r="H27" s="744"/>
      <c r="I27" s="745"/>
      <c r="J27" s="986"/>
      <c r="K27" s="988"/>
      <c r="L27" s="741" t="s">
        <v>47</v>
      </c>
      <c r="M27" s="742" t="s">
        <v>48</v>
      </c>
      <c r="N27" s="743" t="s">
        <v>49</v>
      </c>
      <c r="O27" s="984"/>
      <c r="P27" s="986"/>
      <c r="Q27" s="988"/>
      <c r="R27" s="741" t="s">
        <v>47</v>
      </c>
      <c r="S27" s="742" t="s">
        <v>48</v>
      </c>
      <c r="T27" s="743" t="s">
        <v>49</v>
      </c>
      <c r="U27" s="984"/>
      <c r="V27" s="986"/>
      <c r="W27" s="988"/>
      <c r="X27" s="741" t="s">
        <v>47</v>
      </c>
      <c r="Y27" s="742" t="s">
        <v>48</v>
      </c>
      <c r="Z27" s="743" t="s">
        <v>49</v>
      </c>
      <c r="AA27" s="984"/>
      <c r="AB27" s="986"/>
      <c r="AC27" s="988"/>
      <c r="AD27" s="993"/>
      <c r="AE27" s="3"/>
      <c r="AF27" s="3"/>
    </row>
    <row r="28" spans="1:32" ht="15.75" thickBot="1" x14ac:dyDescent="0.3">
      <c r="A28" s="3"/>
      <c r="B28" s="433" t="s">
        <v>50</v>
      </c>
      <c r="C28" s="432" t="s">
        <v>51</v>
      </c>
      <c r="D28" s="746">
        <v>142.19999999999999</v>
      </c>
      <c r="E28" s="746">
        <v>0</v>
      </c>
      <c r="F28" s="746">
        <v>0</v>
      </c>
      <c r="G28" s="747">
        <f>SUM(D28:F28)</f>
        <v>142.19999999999999</v>
      </c>
      <c r="H28" s="748"/>
      <c r="I28" s="749"/>
      <c r="J28" s="750">
        <v>0</v>
      </c>
      <c r="K28" s="751">
        <f>G28+J28</f>
        <v>142.19999999999999</v>
      </c>
      <c r="L28" s="752">
        <v>280</v>
      </c>
      <c r="M28" s="746">
        <v>0</v>
      </c>
      <c r="N28" s="746">
        <v>12</v>
      </c>
      <c r="O28" s="750">
        <f>SUM(L28:N28)</f>
        <v>292</v>
      </c>
      <c r="P28" s="750">
        <v>5</v>
      </c>
      <c r="Q28" s="751">
        <f>O28+P28</f>
        <v>297</v>
      </c>
      <c r="R28" s="752">
        <v>69.7</v>
      </c>
      <c r="S28" s="746">
        <v>0</v>
      </c>
      <c r="T28" s="746">
        <v>0</v>
      </c>
      <c r="U28" s="750">
        <f>SUM(R28:T28)</f>
        <v>69.7</v>
      </c>
      <c r="V28" s="750">
        <v>0</v>
      </c>
      <c r="W28" s="751">
        <f>U28+V28</f>
        <v>69.7</v>
      </c>
      <c r="X28" s="752">
        <f>L28-20</f>
        <v>260</v>
      </c>
      <c r="Y28" s="746">
        <v>0</v>
      </c>
      <c r="Z28" s="746">
        <v>10</v>
      </c>
      <c r="AA28" s="750">
        <f>SUM(X28:Z28)</f>
        <v>270</v>
      </c>
      <c r="AB28" s="750">
        <v>5.3</v>
      </c>
      <c r="AC28" s="751">
        <f>AA28+AB28</f>
        <v>275.3</v>
      </c>
      <c r="AD28" s="389">
        <f t="shared" ref="AD28:AD41" si="13">(AC28/Q28)</f>
        <v>0.92693602693602695</v>
      </c>
      <c r="AE28" s="3"/>
      <c r="AF28" s="3"/>
    </row>
    <row r="29" spans="1:32" x14ac:dyDescent="0.25">
      <c r="A29" s="3"/>
      <c r="B29" s="418" t="s">
        <v>52</v>
      </c>
      <c r="C29" s="423" t="s">
        <v>53</v>
      </c>
      <c r="D29" s="753">
        <v>511.7</v>
      </c>
      <c r="E29" s="753">
        <f>509+175.8</f>
        <v>684.8</v>
      </c>
      <c r="F29" s="753">
        <v>1172.4000000000001</v>
      </c>
      <c r="G29" s="754">
        <f t="shared" ref="G29:G38" si="14">SUM(D29:F29)</f>
        <v>2368.9</v>
      </c>
      <c r="H29" s="755"/>
      <c r="I29" s="756"/>
      <c r="J29" s="757">
        <v>62.4</v>
      </c>
      <c r="K29" s="715">
        <f t="shared" ref="K29:K38" si="15">G29+J29</f>
        <v>2431.3000000000002</v>
      </c>
      <c r="L29" s="758">
        <v>530.79999999999995</v>
      </c>
      <c r="M29" s="753">
        <v>646</v>
      </c>
      <c r="N29" s="753">
        <v>2005</v>
      </c>
      <c r="O29" s="757">
        <f t="shared" ref="O29:O38" si="16">SUM(L29:N29)</f>
        <v>3181.8</v>
      </c>
      <c r="P29" s="757">
        <v>150</v>
      </c>
      <c r="Q29" s="715">
        <f t="shared" ref="Q29:Q38" si="17">O29+P29</f>
        <v>3331.8</v>
      </c>
      <c r="R29" s="758">
        <v>408.3</v>
      </c>
      <c r="S29" s="753">
        <v>170.7</v>
      </c>
      <c r="T29" s="753">
        <v>1186.3</v>
      </c>
      <c r="U29" s="757">
        <f t="shared" ref="U29:U38" si="18">SUM(R29:T29)</f>
        <v>1765.3</v>
      </c>
      <c r="V29" s="757">
        <v>117.6</v>
      </c>
      <c r="W29" s="715">
        <f t="shared" ref="W29:W38" si="19">U29+V29</f>
        <v>1882.8999999999999</v>
      </c>
      <c r="X29" s="759">
        <f>L29-29.1+10+46.1+5+100-2+0.4</f>
        <v>661.19999999999993</v>
      </c>
      <c r="Y29" s="753">
        <f>140+150</f>
        <v>290</v>
      </c>
      <c r="Z29" s="753">
        <v>2080</v>
      </c>
      <c r="AA29" s="757">
        <f t="shared" ref="AA29:AA38" si="20">SUM(X29:Z29)</f>
        <v>3031.2</v>
      </c>
      <c r="AB29" s="757">
        <v>280</v>
      </c>
      <c r="AC29" s="715">
        <f t="shared" ref="AC29:AC38" si="21">AA29+AB29</f>
        <v>3311.2</v>
      </c>
      <c r="AD29" s="389">
        <f t="shared" si="13"/>
        <v>0.99381715589171005</v>
      </c>
      <c r="AE29" s="3"/>
      <c r="AF29" s="3"/>
    </row>
    <row r="30" spans="1:32" x14ac:dyDescent="0.25">
      <c r="A30" s="3"/>
      <c r="B30" s="418" t="s">
        <v>54</v>
      </c>
      <c r="C30" s="423" t="s">
        <v>55</v>
      </c>
      <c r="D30" s="753">
        <v>1905.9</v>
      </c>
      <c r="E30" s="753">
        <v>0</v>
      </c>
      <c r="F30" s="753">
        <v>0</v>
      </c>
      <c r="G30" s="754">
        <f t="shared" si="14"/>
        <v>1905.9</v>
      </c>
      <c r="H30" s="755"/>
      <c r="I30" s="756"/>
      <c r="J30" s="757">
        <v>121.1</v>
      </c>
      <c r="K30" s="715">
        <f t="shared" si="15"/>
        <v>2027</v>
      </c>
      <c r="L30" s="758">
        <v>3614.7</v>
      </c>
      <c r="M30" s="753">
        <v>0</v>
      </c>
      <c r="N30" s="753">
        <v>0</v>
      </c>
      <c r="O30" s="757">
        <f t="shared" si="16"/>
        <v>3614.7</v>
      </c>
      <c r="P30" s="757">
        <v>120</v>
      </c>
      <c r="Q30" s="715">
        <f>O30+P30</f>
        <v>3734.7</v>
      </c>
      <c r="R30" s="758">
        <v>1404.4</v>
      </c>
      <c r="S30" s="753">
        <v>0</v>
      </c>
      <c r="T30" s="753">
        <v>0</v>
      </c>
      <c r="U30" s="757">
        <f t="shared" si="18"/>
        <v>1404.4</v>
      </c>
      <c r="V30" s="757">
        <v>7.8</v>
      </c>
      <c r="W30" s="715">
        <f t="shared" si="19"/>
        <v>1412.2</v>
      </c>
      <c r="X30" s="760">
        <f>L30-1000</f>
        <v>2614.6999999999998</v>
      </c>
      <c r="Y30" s="753">
        <v>0</v>
      </c>
      <c r="Z30" s="753">
        <v>0</v>
      </c>
      <c r="AA30" s="757">
        <f t="shared" si="20"/>
        <v>2614.6999999999998</v>
      </c>
      <c r="AB30" s="757">
        <v>40</v>
      </c>
      <c r="AC30" s="715">
        <f t="shared" si="21"/>
        <v>2654.7</v>
      </c>
      <c r="AD30" s="389">
        <f t="shared" si="13"/>
        <v>0.71082014619648159</v>
      </c>
      <c r="AE30" s="3"/>
      <c r="AF30" s="3"/>
    </row>
    <row r="31" spans="1:32" x14ac:dyDescent="0.25">
      <c r="A31" s="3"/>
      <c r="B31" s="418" t="s">
        <v>56</v>
      </c>
      <c r="C31" s="423" t="s">
        <v>57</v>
      </c>
      <c r="D31" s="753">
        <v>862.6</v>
      </c>
      <c r="E31" s="753">
        <v>17.899999999999999</v>
      </c>
      <c r="F31" s="753">
        <v>5.8</v>
      </c>
      <c r="G31" s="754">
        <f t="shared" si="14"/>
        <v>886.3</v>
      </c>
      <c r="H31" s="755"/>
      <c r="I31" s="756"/>
      <c r="J31" s="757">
        <v>0</v>
      </c>
      <c r="K31" s="715">
        <f t="shared" si="15"/>
        <v>886.3</v>
      </c>
      <c r="L31" s="758">
        <v>889</v>
      </c>
      <c r="M31" s="753">
        <v>152</v>
      </c>
      <c r="N31" s="753">
        <v>53</v>
      </c>
      <c r="O31" s="757">
        <f t="shared" si="16"/>
        <v>1094</v>
      </c>
      <c r="P31" s="757">
        <v>2</v>
      </c>
      <c r="Q31" s="715">
        <f t="shared" si="17"/>
        <v>1096</v>
      </c>
      <c r="R31" s="758">
        <v>564.79999999999995</v>
      </c>
      <c r="S31" s="753">
        <v>52.6</v>
      </c>
      <c r="T31" s="753">
        <v>6.2</v>
      </c>
      <c r="U31" s="757">
        <f t="shared" si="18"/>
        <v>623.6</v>
      </c>
      <c r="V31" s="757">
        <v>0</v>
      </c>
      <c r="W31" s="715">
        <f t="shared" si="19"/>
        <v>623.6</v>
      </c>
      <c r="X31" s="760">
        <f>L31-30+45+100-3.4</f>
        <v>1000.6</v>
      </c>
      <c r="Y31" s="753">
        <f>95</f>
        <v>95</v>
      </c>
      <c r="Z31" s="753">
        <v>40</v>
      </c>
      <c r="AA31" s="757">
        <f t="shared" si="20"/>
        <v>1135.5999999999999</v>
      </c>
      <c r="AB31" s="757">
        <v>0</v>
      </c>
      <c r="AC31" s="715">
        <f t="shared" si="21"/>
        <v>1135.5999999999999</v>
      </c>
      <c r="AD31" s="389">
        <f>(AC31/Q31)</f>
        <v>1.0361313868613138</v>
      </c>
      <c r="AE31" s="3"/>
      <c r="AF31" s="3"/>
    </row>
    <row r="32" spans="1:32" x14ac:dyDescent="0.25">
      <c r="A32" s="3"/>
      <c r="B32" s="418" t="s">
        <v>58</v>
      </c>
      <c r="C32" s="423" t="s">
        <v>59</v>
      </c>
      <c r="D32" s="761">
        <f>SUM(D33:D34)</f>
        <v>437.2</v>
      </c>
      <c r="E32" s="753">
        <f t="shared" ref="E32:F32" si="22">SUM(E33:E34)</f>
        <v>31493.9</v>
      </c>
      <c r="F32" s="761">
        <f t="shared" si="22"/>
        <v>0.9</v>
      </c>
      <c r="G32" s="754">
        <f t="shared" si="14"/>
        <v>31932.000000000004</v>
      </c>
      <c r="H32" s="755"/>
      <c r="I32" s="756"/>
      <c r="J32" s="757">
        <v>37.200000000000003</v>
      </c>
      <c r="K32" s="715">
        <f t="shared" si="15"/>
        <v>31969.200000000004</v>
      </c>
      <c r="L32" s="762">
        <v>344.7</v>
      </c>
      <c r="M32" s="753">
        <v>31110.799999999999</v>
      </c>
      <c r="N32" s="753">
        <v>0</v>
      </c>
      <c r="O32" s="757">
        <f t="shared" si="16"/>
        <v>31455.5</v>
      </c>
      <c r="P32" s="757">
        <v>154</v>
      </c>
      <c r="Q32" s="715">
        <f t="shared" si="17"/>
        <v>31609.5</v>
      </c>
      <c r="R32" s="762">
        <v>156.19999999999999</v>
      </c>
      <c r="S32" s="753">
        <v>15254.8</v>
      </c>
      <c r="T32" s="753">
        <v>0</v>
      </c>
      <c r="U32" s="757">
        <f t="shared" si="18"/>
        <v>15411</v>
      </c>
      <c r="V32" s="757">
        <v>49.7</v>
      </c>
      <c r="W32" s="715">
        <f t="shared" si="19"/>
        <v>15460.7</v>
      </c>
      <c r="X32" s="758">
        <f>SUM(X33:X34)</f>
        <v>398.8</v>
      </c>
      <c r="Y32" s="753">
        <f>SUM(Y33:Y34)</f>
        <v>35040.6</v>
      </c>
      <c r="Z32" s="753">
        <f>SUM(Z33:Z34)</f>
        <v>0</v>
      </c>
      <c r="AA32" s="757">
        <f t="shared" si="20"/>
        <v>35439.4</v>
      </c>
      <c r="AB32" s="757">
        <f>SUM(AB33:AB34)</f>
        <v>144</v>
      </c>
      <c r="AC32" s="715">
        <f t="shared" si="21"/>
        <v>35583.4</v>
      </c>
      <c r="AD32" s="389">
        <f t="shared" si="13"/>
        <v>1.1257185339850362</v>
      </c>
      <c r="AE32" s="3"/>
      <c r="AF32" s="3"/>
    </row>
    <row r="33" spans="1:32" x14ac:dyDescent="0.25">
      <c r="A33" s="3"/>
      <c r="B33" s="418" t="s">
        <v>60</v>
      </c>
      <c r="C33" s="427" t="s">
        <v>61</v>
      </c>
      <c r="D33" s="761">
        <v>423.3</v>
      </c>
      <c r="E33" s="753">
        <f>341+30708.4</f>
        <v>31049.4</v>
      </c>
      <c r="F33" s="753">
        <v>0.9</v>
      </c>
      <c r="G33" s="754">
        <f t="shared" si="14"/>
        <v>31473.600000000002</v>
      </c>
      <c r="H33" s="755"/>
      <c r="I33" s="756"/>
      <c r="J33" s="757">
        <v>21.3</v>
      </c>
      <c r="K33" s="715">
        <f t="shared" si="15"/>
        <v>31494.9</v>
      </c>
      <c r="L33" s="762">
        <v>304.7</v>
      </c>
      <c r="M33" s="753">
        <v>30908.799999999999</v>
      </c>
      <c r="N33" s="753">
        <v>0</v>
      </c>
      <c r="O33" s="757">
        <f t="shared" si="16"/>
        <v>31213.5</v>
      </c>
      <c r="P33" s="757">
        <v>36</v>
      </c>
      <c r="Q33" s="715">
        <f t="shared" si="17"/>
        <v>31249.5</v>
      </c>
      <c r="R33" s="762">
        <v>73</v>
      </c>
      <c r="S33" s="753">
        <v>14898.599999999999</v>
      </c>
      <c r="T33" s="753">
        <v>0</v>
      </c>
      <c r="U33" s="757">
        <f t="shared" si="18"/>
        <v>14971.599999999999</v>
      </c>
      <c r="V33" s="757">
        <v>17.600000000000001</v>
      </c>
      <c r="W33" s="715">
        <f t="shared" si="19"/>
        <v>14989.199999999999</v>
      </c>
      <c r="X33" s="758">
        <v>288.8</v>
      </c>
      <c r="Y33" s="753">
        <f>31323.6+350+2913.4</f>
        <v>34587</v>
      </c>
      <c r="Z33" s="753">
        <v>0</v>
      </c>
      <c r="AA33" s="757">
        <f t="shared" si="20"/>
        <v>34875.800000000003</v>
      </c>
      <c r="AB33" s="757">
        <v>44</v>
      </c>
      <c r="AC33" s="715">
        <f t="shared" si="21"/>
        <v>34919.800000000003</v>
      </c>
      <c r="AD33" s="389">
        <f t="shared" si="13"/>
        <v>1.1174514792236676</v>
      </c>
      <c r="AE33" s="3"/>
      <c r="AF33" s="3"/>
    </row>
    <row r="34" spans="1:32" x14ac:dyDescent="0.25">
      <c r="A34" s="3"/>
      <c r="B34" s="418" t="s">
        <v>62</v>
      </c>
      <c r="C34" s="426" t="s">
        <v>63</v>
      </c>
      <c r="D34" s="761">
        <v>13.9</v>
      </c>
      <c r="E34" s="753">
        <f>196+179+69.5</f>
        <v>444.5</v>
      </c>
      <c r="F34" s="753">
        <v>0</v>
      </c>
      <c r="G34" s="754">
        <f t="shared" si="14"/>
        <v>458.4</v>
      </c>
      <c r="H34" s="755"/>
      <c r="I34" s="756"/>
      <c r="J34" s="757">
        <v>15.9</v>
      </c>
      <c r="K34" s="715">
        <f t="shared" si="15"/>
        <v>474.29999999999995</v>
      </c>
      <c r="L34" s="762">
        <v>40</v>
      </c>
      <c r="M34" s="753">
        <v>202</v>
      </c>
      <c r="N34" s="753">
        <v>0</v>
      </c>
      <c r="O34" s="757">
        <f>SUM(L34:N34)</f>
        <v>242</v>
      </c>
      <c r="P34" s="757">
        <v>118</v>
      </c>
      <c r="Q34" s="715">
        <f t="shared" si="17"/>
        <v>360</v>
      </c>
      <c r="R34" s="762">
        <v>83.2</v>
      </c>
      <c r="S34" s="753">
        <v>356.2</v>
      </c>
      <c r="T34" s="753">
        <v>0</v>
      </c>
      <c r="U34" s="757">
        <f t="shared" si="18"/>
        <v>439.4</v>
      </c>
      <c r="V34" s="757">
        <v>32.1</v>
      </c>
      <c r="W34" s="715">
        <f t="shared" si="19"/>
        <v>471.5</v>
      </c>
      <c r="X34" s="758">
        <f>110</f>
        <v>110</v>
      </c>
      <c r="Y34" s="753">
        <f>120+333.6</f>
        <v>453.6</v>
      </c>
      <c r="Z34" s="753">
        <v>0</v>
      </c>
      <c r="AA34" s="757">
        <f t="shared" si="20"/>
        <v>563.6</v>
      </c>
      <c r="AB34" s="757">
        <v>100</v>
      </c>
      <c r="AC34" s="715">
        <f t="shared" si="21"/>
        <v>663.6</v>
      </c>
      <c r="AD34" s="389">
        <f t="shared" si="13"/>
        <v>1.8433333333333335</v>
      </c>
      <c r="AE34" s="3"/>
      <c r="AF34" s="3"/>
    </row>
    <row r="35" spans="1:32" x14ac:dyDescent="0.25">
      <c r="A35" s="3"/>
      <c r="B35" s="418" t="s">
        <v>64</v>
      </c>
      <c r="C35" s="423" t="s">
        <v>65</v>
      </c>
      <c r="D35" s="761">
        <v>143.1</v>
      </c>
      <c r="E35" s="753">
        <f>115.3+10313.2</f>
        <v>10428.5</v>
      </c>
      <c r="F35" s="753">
        <v>0.1</v>
      </c>
      <c r="G35" s="754">
        <f>SUM(D35:F35)</f>
        <v>10571.7</v>
      </c>
      <c r="H35" s="755"/>
      <c r="I35" s="756"/>
      <c r="J35" s="757">
        <v>6.1</v>
      </c>
      <c r="K35" s="715">
        <f t="shared" si="15"/>
        <v>10577.800000000001</v>
      </c>
      <c r="L35" s="762">
        <v>110.2</v>
      </c>
      <c r="M35" s="753">
        <v>10497.3</v>
      </c>
      <c r="N35" s="753">
        <v>0</v>
      </c>
      <c r="O35" s="757">
        <f t="shared" si="16"/>
        <v>10607.5</v>
      </c>
      <c r="P35" s="757">
        <v>15</v>
      </c>
      <c r="Q35" s="715">
        <f t="shared" si="17"/>
        <v>10622.5</v>
      </c>
      <c r="R35" s="762">
        <v>49.6</v>
      </c>
      <c r="S35" s="753">
        <v>4871.3</v>
      </c>
      <c r="T35" s="753">
        <v>0</v>
      </c>
      <c r="U35" s="757">
        <f t="shared" si="18"/>
        <v>4920.9000000000005</v>
      </c>
      <c r="V35" s="757">
        <v>5.9</v>
      </c>
      <c r="W35" s="715">
        <f t="shared" si="19"/>
        <v>4926.8</v>
      </c>
      <c r="X35" s="758">
        <f>12+97.7</f>
        <v>109.7</v>
      </c>
      <c r="Y35" s="753">
        <f>10618.7+984.7</f>
        <v>11603.400000000001</v>
      </c>
      <c r="Z35" s="753">
        <v>0</v>
      </c>
      <c r="AA35" s="757">
        <f t="shared" si="20"/>
        <v>11713.100000000002</v>
      </c>
      <c r="AB35" s="757">
        <v>11.7</v>
      </c>
      <c r="AC35" s="715">
        <f t="shared" si="21"/>
        <v>11724.800000000003</v>
      </c>
      <c r="AD35" s="389">
        <f t="shared" si="13"/>
        <v>1.1037702988938576</v>
      </c>
      <c r="AE35" s="3"/>
      <c r="AF35" s="3"/>
    </row>
    <row r="36" spans="1:32" x14ac:dyDescent="0.25">
      <c r="A36" s="3"/>
      <c r="B36" s="418" t="s">
        <v>66</v>
      </c>
      <c r="C36" s="423" t="s">
        <v>67</v>
      </c>
      <c r="D36" s="753">
        <v>0.1</v>
      </c>
      <c r="E36" s="753">
        <v>0</v>
      </c>
      <c r="F36" s="753">
        <v>0</v>
      </c>
      <c r="G36" s="754">
        <f t="shared" si="14"/>
        <v>0.1</v>
      </c>
      <c r="H36" s="755"/>
      <c r="I36" s="756"/>
      <c r="J36" s="757">
        <v>0</v>
      </c>
      <c r="K36" s="715">
        <f t="shared" si="15"/>
        <v>0.1</v>
      </c>
      <c r="L36" s="758">
        <v>2</v>
      </c>
      <c r="M36" s="753">
        <v>0</v>
      </c>
      <c r="N36" s="753">
        <v>0</v>
      </c>
      <c r="O36" s="757">
        <f t="shared" si="16"/>
        <v>2</v>
      </c>
      <c r="P36" s="757">
        <v>0</v>
      </c>
      <c r="Q36" s="715">
        <f t="shared" si="17"/>
        <v>2</v>
      </c>
      <c r="R36" s="758">
        <v>0</v>
      </c>
      <c r="S36" s="753">
        <v>0</v>
      </c>
      <c r="T36" s="753">
        <v>6.5</v>
      </c>
      <c r="U36" s="757">
        <f t="shared" si="18"/>
        <v>6.5</v>
      </c>
      <c r="V36" s="757">
        <v>0</v>
      </c>
      <c r="W36" s="715">
        <f t="shared" si="19"/>
        <v>6.5</v>
      </c>
      <c r="X36" s="758">
        <v>0</v>
      </c>
      <c r="Y36" s="753">
        <v>0</v>
      </c>
      <c r="Z36" s="753">
        <v>2</v>
      </c>
      <c r="AA36" s="757">
        <f t="shared" si="20"/>
        <v>2</v>
      </c>
      <c r="AB36" s="757">
        <v>0</v>
      </c>
      <c r="AC36" s="715">
        <f t="shared" si="21"/>
        <v>2</v>
      </c>
      <c r="AD36" s="389">
        <f t="shared" si="13"/>
        <v>1</v>
      </c>
      <c r="AE36" s="3"/>
      <c r="AF36" s="3"/>
    </row>
    <row r="37" spans="1:32" x14ac:dyDescent="0.25">
      <c r="A37" s="3"/>
      <c r="B37" s="418" t="s">
        <v>68</v>
      </c>
      <c r="C37" s="423" t="s">
        <v>69</v>
      </c>
      <c r="D37" s="753">
        <v>902.6</v>
      </c>
      <c r="E37" s="753">
        <v>0</v>
      </c>
      <c r="F37" s="753">
        <v>892.9</v>
      </c>
      <c r="G37" s="754">
        <f t="shared" si="14"/>
        <v>1795.5</v>
      </c>
      <c r="H37" s="755"/>
      <c r="I37" s="756"/>
      <c r="J37" s="757">
        <v>0</v>
      </c>
      <c r="K37" s="715">
        <f t="shared" si="15"/>
        <v>1795.5</v>
      </c>
      <c r="L37" s="758">
        <v>910</v>
      </c>
      <c r="M37" s="753">
        <v>0</v>
      </c>
      <c r="N37" s="753">
        <v>892</v>
      </c>
      <c r="O37" s="757">
        <f t="shared" si="16"/>
        <v>1802</v>
      </c>
      <c r="P37" s="757">
        <v>0</v>
      </c>
      <c r="Q37" s="715">
        <f t="shared" si="17"/>
        <v>1802</v>
      </c>
      <c r="R37" s="758">
        <v>450.6</v>
      </c>
      <c r="S37" s="753">
        <v>0</v>
      </c>
      <c r="T37" s="753">
        <v>448.7</v>
      </c>
      <c r="U37" s="757">
        <f t="shared" si="18"/>
        <v>899.3</v>
      </c>
      <c r="V37" s="757">
        <v>0</v>
      </c>
      <c r="W37" s="715">
        <f t="shared" si="19"/>
        <v>899.3</v>
      </c>
      <c r="X37" s="758">
        <v>990</v>
      </c>
      <c r="Y37" s="753">
        <v>0</v>
      </c>
      <c r="Z37" s="753">
        <v>897.3</v>
      </c>
      <c r="AA37" s="757">
        <f t="shared" si="20"/>
        <v>1887.3</v>
      </c>
      <c r="AB37" s="757">
        <v>0</v>
      </c>
      <c r="AC37" s="715">
        <f t="shared" si="21"/>
        <v>1887.3</v>
      </c>
      <c r="AD37" s="389">
        <f t="shared" si="13"/>
        <v>1.0473362930077692</v>
      </c>
      <c r="AE37" s="3"/>
      <c r="AF37" s="3"/>
    </row>
    <row r="38" spans="1:32" ht="15.75" thickBot="1" x14ac:dyDescent="0.3">
      <c r="A38" s="3"/>
      <c r="B38" s="484" t="s">
        <v>70</v>
      </c>
      <c r="C38" s="417" t="s">
        <v>71</v>
      </c>
      <c r="D38" s="763">
        <f>-8.1+15.3+3.3+53.1-0.4+1+68+32.7+4+(2)</f>
        <v>170.89999999999998</v>
      </c>
      <c r="E38" s="763">
        <f>694.7+33.1+130.2+786.7+8-2</f>
        <v>1650.7</v>
      </c>
      <c r="F38" s="763">
        <v>0</v>
      </c>
      <c r="G38" s="754">
        <f t="shared" si="14"/>
        <v>1821.6</v>
      </c>
      <c r="H38" s="764"/>
      <c r="I38" s="765"/>
      <c r="J38" s="766">
        <v>0.4</v>
      </c>
      <c r="K38" s="732">
        <f t="shared" si="15"/>
        <v>1822</v>
      </c>
      <c r="L38" s="767">
        <v>239.3</v>
      </c>
      <c r="M38" s="763">
        <v>2006</v>
      </c>
      <c r="N38" s="763">
        <v>50</v>
      </c>
      <c r="O38" s="766">
        <f t="shared" si="16"/>
        <v>2295.3000000000002</v>
      </c>
      <c r="P38" s="766">
        <v>1</v>
      </c>
      <c r="Q38" s="732">
        <f t="shared" si="17"/>
        <v>2296.3000000000002</v>
      </c>
      <c r="R38" s="767">
        <v>151.1</v>
      </c>
      <c r="S38" s="763">
        <v>966.7</v>
      </c>
      <c r="T38" s="763">
        <v>0</v>
      </c>
      <c r="U38" s="766">
        <f t="shared" si="18"/>
        <v>1117.8</v>
      </c>
      <c r="V38" s="766">
        <v>0.4</v>
      </c>
      <c r="W38" s="732">
        <f t="shared" si="19"/>
        <v>1118.2</v>
      </c>
      <c r="X38" s="767">
        <f>L38-40-9+ 5.7</f>
        <v>196</v>
      </c>
      <c r="Y38" s="763">
        <f>626.5+365+58.3+183.7+143</f>
        <v>1376.5</v>
      </c>
      <c r="Z38" s="763">
        <v>158</v>
      </c>
      <c r="AA38" s="766">
        <f t="shared" si="20"/>
        <v>1730.5</v>
      </c>
      <c r="AB38" s="766">
        <v>1</v>
      </c>
      <c r="AC38" s="732">
        <f t="shared" si="21"/>
        <v>1731.5</v>
      </c>
      <c r="AD38" s="411">
        <f t="shared" si="13"/>
        <v>0.75403910638853799</v>
      </c>
      <c r="AE38" s="3"/>
      <c r="AF38" s="3"/>
    </row>
    <row r="39" spans="1:32" ht="15.75" thickBot="1" x14ac:dyDescent="0.3">
      <c r="A39" s="3"/>
      <c r="B39" s="410" t="s">
        <v>72</v>
      </c>
      <c r="C39" s="409" t="s">
        <v>73</v>
      </c>
      <c r="D39" s="768">
        <f>SUM(D35:D38)+SUM(D28:D32)</f>
        <v>5076.2999999999993</v>
      </c>
      <c r="E39" s="768">
        <f>SUM(E35:E38)+SUM(E28:E32)</f>
        <v>44275.8</v>
      </c>
      <c r="F39" s="768">
        <f>SUM(F35:F38)+SUM(F28:F32)</f>
        <v>2072.1000000000004</v>
      </c>
      <c r="G39" s="769">
        <f>SUM(D39:F39)</f>
        <v>51424.200000000004</v>
      </c>
      <c r="H39" s="770"/>
      <c r="I39" s="771"/>
      <c r="J39" s="772">
        <f>SUM(J28:J32)+SUM(J35:J38)</f>
        <v>227.2</v>
      </c>
      <c r="K39" s="773">
        <f>SUM(K35:K38)+SUM(K28:K32)</f>
        <v>51651.400000000009</v>
      </c>
      <c r="L39" s="768">
        <f>SUM(L35:L38)+SUM(L28:L32)</f>
        <v>6920.7</v>
      </c>
      <c r="M39" s="768">
        <f>SUM(M35:M38)+SUM(M28:M32)</f>
        <v>44412.1</v>
      </c>
      <c r="N39" s="768">
        <f>SUM(N35:N38)+SUM(N28:N32)</f>
        <v>3012</v>
      </c>
      <c r="O39" s="774">
        <f>SUM(L39:N39)</f>
        <v>54344.799999999996</v>
      </c>
      <c r="P39" s="772">
        <f>SUM(P28:P32)+SUM(P35:P38)</f>
        <v>447</v>
      </c>
      <c r="Q39" s="773">
        <f>SUM(Q35:Q38)+SUM(Q28:Q32)</f>
        <v>54791.8</v>
      </c>
      <c r="R39" s="768">
        <f>SUM(R35:R38)+SUM(R28:R32)</f>
        <v>3254.7</v>
      </c>
      <c r="S39" s="768">
        <f>SUM(S35:S38)+SUM(S28:S32)</f>
        <v>21316.1</v>
      </c>
      <c r="T39" s="768">
        <f>SUM(T35:T38)+SUM(T28:T32)</f>
        <v>1647.7</v>
      </c>
      <c r="U39" s="774">
        <f>SUM(R39:T39)</f>
        <v>26218.5</v>
      </c>
      <c r="V39" s="772">
        <f>SUM(V28:V32)+SUM(V35:V38)</f>
        <v>181.4</v>
      </c>
      <c r="W39" s="773">
        <f>SUM(W35:W38)+SUM(W28:W32)</f>
        <v>26399.9</v>
      </c>
      <c r="X39" s="768">
        <f>SUM(X35:X38)+SUM(X28:X32)</f>
        <v>6231</v>
      </c>
      <c r="Y39" s="768">
        <f>SUM(Y35:Y38)+SUM(Y28:Y32)</f>
        <v>48405.5</v>
      </c>
      <c r="Z39" s="768">
        <f>SUM(Z35:Z38)+SUM(Z28:Z32)</f>
        <v>3187.3</v>
      </c>
      <c r="AA39" s="774">
        <f>SUM(X39:Z39)</f>
        <v>57823.8</v>
      </c>
      <c r="AB39" s="772">
        <f>SUM(AB28:AB32)+SUM(AB35:AB38)</f>
        <v>482</v>
      </c>
      <c r="AC39" s="773">
        <f>SUM(AC35:AC38)+SUM(AC28:AC32)</f>
        <v>58305.8</v>
      </c>
      <c r="AD39" s="404">
        <f t="shared" si="13"/>
        <v>1.0641336842374225</v>
      </c>
      <c r="AE39" s="3"/>
      <c r="AF39" s="3"/>
    </row>
    <row r="40" spans="1:32" ht="19.5" thickBot="1" x14ac:dyDescent="0.35">
      <c r="A40" s="3"/>
      <c r="B40" s="403" t="s">
        <v>74</v>
      </c>
      <c r="C40" s="402" t="s">
        <v>75</v>
      </c>
      <c r="D40" s="401">
        <f>D24-D39</f>
        <v>-71.199999999999818</v>
      </c>
      <c r="E40" s="401">
        <f>E24-E39</f>
        <v>0</v>
      </c>
      <c r="F40" s="401">
        <f>F24-F39</f>
        <v>127.29999999999973</v>
      </c>
      <c r="G40" s="400">
        <f>G24-G39</f>
        <v>56.099999999998545</v>
      </c>
      <c r="H40" s="775"/>
      <c r="I40" s="775"/>
      <c r="J40" s="400">
        <f t="shared" ref="J40:W40" si="23">J24-J39</f>
        <v>94.900000000000034</v>
      </c>
      <c r="K40" s="399">
        <f>K24-K39</f>
        <v>150.99999999999272</v>
      </c>
      <c r="L40" s="401">
        <f t="shared" si="23"/>
        <v>0</v>
      </c>
      <c r="M40" s="401">
        <f t="shared" si="23"/>
        <v>0</v>
      </c>
      <c r="N40" s="401">
        <f t="shared" si="23"/>
        <v>0</v>
      </c>
      <c r="O40" s="400">
        <f t="shared" si="23"/>
        <v>0</v>
      </c>
      <c r="P40" s="400">
        <f t="shared" si="23"/>
        <v>0</v>
      </c>
      <c r="Q40" s="399">
        <f t="shared" si="23"/>
        <v>0</v>
      </c>
      <c r="R40" s="401">
        <f t="shared" si="23"/>
        <v>-168.09999999999991</v>
      </c>
      <c r="S40" s="401">
        <f t="shared" si="23"/>
        <v>941</v>
      </c>
      <c r="T40" s="401">
        <f t="shared" si="23"/>
        <v>372.79999999999995</v>
      </c>
      <c r="U40" s="400">
        <f t="shared" si="23"/>
        <v>1145.6999999999971</v>
      </c>
      <c r="V40" s="400">
        <f t="shared" si="23"/>
        <v>76.599999999999994</v>
      </c>
      <c r="W40" s="399">
        <f t="shared" si="23"/>
        <v>1222.2999999999956</v>
      </c>
      <c r="X40" s="401">
        <f>X24-X39</f>
        <v>0</v>
      </c>
      <c r="Y40" s="401">
        <f t="shared" ref="Y40:AC40" si="24">Y24-Y39</f>
        <v>0</v>
      </c>
      <c r="Z40" s="401">
        <f>Z24-Z39</f>
        <v>0</v>
      </c>
      <c r="AA40" s="400">
        <f t="shared" si="24"/>
        <v>0</v>
      </c>
      <c r="AB40" s="400">
        <f t="shared" si="24"/>
        <v>0</v>
      </c>
      <c r="AC40" s="399">
        <f t="shared" si="24"/>
        <v>0</v>
      </c>
      <c r="AD40" s="398" t="e">
        <f t="shared" si="13"/>
        <v>#DIV/0!</v>
      </c>
      <c r="AE40" s="3"/>
      <c r="AF40" s="3"/>
    </row>
    <row r="41" spans="1:32" ht="15.75" thickBot="1" x14ac:dyDescent="0.3">
      <c r="A41" s="3"/>
      <c r="B41" s="397" t="s">
        <v>76</v>
      </c>
      <c r="C41" s="396" t="s">
        <v>77</v>
      </c>
      <c r="D41" s="394"/>
      <c r="E41" s="393"/>
      <c r="F41" s="393"/>
      <c r="G41" s="776"/>
      <c r="H41" s="777"/>
      <c r="I41" s="777"/>
      <c r="J41" s="395"/>
      <c r="K41" s="390">
        <f>K40-D16</f>
        <v>-4206.4000000000069</v>
      </c>
      <c r="L41" s="394"/>
      <c r="M41" s="393"/>
      <c r="N41" s="393"/>
      <c r="O41" s="392"/>
      <c r="P41" s="391"/>
      <c r="Q41" s="390">
        <f>Q40-L16</f>
        <v>-5060</v>
      </c>
      <c r="R41" s="394"/>
      <c r="S41" s="393"/>
      <c r="T41" s="393"/>
      <c r="U41" s="392"/>
      <c r="V41" s="391"/>
      <c r="W41" s="390">
        <f>W40-R16</f>
        <v>-1362.7000000000044</v>
      </c>
      <c r="X41" s="394"/>
      <c r="Y41" s="393"/>
      <c r="Z41" s="393"/>
      <c r="AA41" s="392"/>
      <c r="AB41" s="391"/>
      <c r="AC41" s="390">
        <f>AC40-X16</f>
        <v>-5747.7</v>
      </c>
      <c r="AD41" s="389">
        <f t="shared" si="13"/>
        <v>1.135909090909091</v>
      </c>
      <c r="AE41" s="3"/>
      <c r="AF41" s="3"/>
    </row>
    <row r="42" spans="1:32" ht="8.25" customHeight="1" thickBot="1" x14ac:dyDescent="0.3">
      <c r="A42" s="3"/>
      <c r="B42" s="382"/>
      <c r="C42" s="370"/>
      <c r="D42" s="388"/>
      <c r="E42" s="369"/>
      <c r="F42" s="369"/>
      <c r="G42" s="3"/>
      <c r="H42" s="3"/>
      <c r="I42" s="3"/>
      <c r="J42" s="369"/>
      <c r="K42" s="369"/>
      <c r="L42" s="388"/>
      <c r="M42" s="369"/>
      <c r="N42" s="369"/>
      <c r="O42" s="3"/>
      <c r="P42" s="369"/>
      <c r="Q42" s="369"/>
      <c r="R42" s="369"/>
      <c r="S42" s="369"/>
      <c r="T42" s="369"/>
      <c r="U42" s="369"/>
      <c r="V42" s="369"/>
      <c r="W42" s="369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.75" customHeight="1" thickBot="1" x14ac:dyDescent="0.3">
      <c r="A43" s="3"/>
      <c r="B43" s="382"/>
      <c r="C43" s="873" t="s">
        <v>78</v>
      </c>
      <c r="D43" s="112" t="s">
        <v>79</v>
      </c>
      <c r="E43" s="387" t="s">
        <v>80</v>
      </c>
      <c r="F43" s="386" t="s">
        <v>81</v>
      </c>
      <c r="G43" s="369"/>
      <c r="H43" s="369"/>
      <c r="I43" s="369"/>
      <c r="J43" s="369"/>
      <c r="K43" s="368"/>
      <c r="L43" s="112" t="s">
        <v>79</v>
      </c>
      <c r="M43" s="387" t="s">
        <v>80</v>
      </c>
      <c r="N43" s="386" t="s">
        <v>81</v>
      </c>
      <c r="O43" s="369"/>
      <c r="P43" s="369"/>
      <c r="Q43" s="369"/>
      <c r="R43" s="112" t="s">
        <v>79</v>
      </c>
      <c r="S43" s="387" t="s">
        <v>80</v>
      </c>
      <c r="T43" s="386" t="s">
        <v>81</v>
      </c>
      <c r="U43" s="3"/>
      <c r="V43" s="3"/>
      <c r="W43" s="3"/>
      <c r="X43" s="112" t="s">
        <v>79</v>
      </c>
      <c r="Y43" s="387" t="s">
        <v>80</v>
      </c>
      <c r="Z43" s="386" t="s">
        <v>81</v>
      </c>
      <c r="AA43" s="3"/>
      <c r="AB43" s="3"/>
      <c r="AC43" s="3"/>
      <c r="AD43" s="3"/>
      <c r="AE43" s="3"/>
      <c r="AF43" s="3"/>
    </row>
    <row r="44" spans="1:32" ht="15.75" thickBot="1" x14ac:dyDescent="0.3">
      <c r="A44" s="3"/>
      <c r="B44" s="382"/>
      <c r="C44" s="874"/>
      <c r="D44" s="778">
        <v>638.6</v>
      </c>
      <c r="E44" s="779">
        <v>638.6</v>
      </c>
      <c r="F44" s="780">
        <v>0</v>
      </c>
      <c r="G44" s="781"/>
      <c r="H44" s="781"/>
      <c r="I44" s="781"/>
      <c r="J44" s="781"/>
      <c r="K44" s="782"/>
      <c r="L44" s="778">
        <v>637.5</v>
      </c>
      <c r="M44" s="779">
        <v>637.5</v>
      </c>
      <c r="N44" s="780">
        <v>0</v>
      </c>
      <c r="O44" s="783"/>
      <c r="P44" s="783"/>
      <c r="Q44" s="783"/>
      <c r="R44" s="778">
        <v>321</v>
      </c>
      <c r="S44" s="779">
        <v>321</v>
      </c>
      <c r="T44" s="780">
        <v>0</v>
      </c>
      <c r="U44" s="477"/>
      <c r="V44" s="477"/>
      <c r="W44" s="477"/>
      <c r="X44" s="778">
        <v>642.1</v>
      </c>
      <c r="Y44" s="779">
        <v>642.1</v>
      </c>
      <c r="Z44" s="780">
        <v>0</v>
      </c>
      <c r="AA44" s="477"/>
      <c r="AB44" s="3"/>
      <c r="AC44" s="3"/>
      <c r="AD44" s="3"/>
      <c r="AE44" s="3"/>
      <c r="AF44" s="3"/>
    </row>
    <row r="45" spans="1:32" ht="8.25" customHeight="1" thickBot="1" x14ac:dyDescent="0.3">
      <c r="A45" s="3"/>
      <c r="B45" s="382"/>
      <c r="C45" s="370"/>
      <c r="D45" s="783"/>
      <c r="E45" s="781"/>
      <c r="F45" s="781"/>
      <c r="G45" s="781"/>
      <c r="H45" s="781"/>
      <c r="I45" s="781"/>
      <c r="J45" s="781"/>
      <c r="K45" s="782"/>
      <c r="L45" s="781"/>
      <c r="M45" s="781"/>
      <c r="N45" s="781"/>
      <c r="O45" s="781"/>
      <c r="P45" s="781"/>
      <c r="Q45" s="782"/>
      <c r="R45" s="782"/>
      <c r="S45" s="782"/>
      <c r="T45" s="782"/>
      <c r="U45" s="782"/>
      <c r="V45" s="782"/>
      <c r="W45" s="782"/>
      <c r="X45" s="477"/>
      <c r="Y45" s="477"/>
      <c r="Z45" s="477"/>
      <c r="AA45" s="477"/>
      <c r="AB45" s="3"/>
      <c r="AC45" s="3"/>
      <c r="AD45" s="3"/>
      <c r="AE45" s="3"/>
      <c r="AF45" s="3"/>
    </row>
    <row r="46" spans="1:32" ht="37.5" customHeight="1" thickBot="1" x14ac:dyDescent="0.3">
      <c r="A46" s="3"/>
      <c r="B46" s="382"/>
      <c r="C46" s="873" t="s">
        <v>82</v>
      </c>
      <c r="D46" s="784" t="s">
        <v>83</v>
      </c>
      <c r="E46" s="785" t="s">
        <v>84</v>
      </c>
      <c r="F46" s="781"/>
      <c r="G46" s="781"/>
      <c r="H46" s="781"/>
      <c r="I46" s="781"/>
      <c r="J46" s="781"/>
      <c r="K46" s="782"/>
      <c r="L46" s="784" t="s">
        <v>83</v>
      </c>
      <c r="M46" s="785" t="s">
        <v>84</v>
      </c>
      <c r="N46" s="786"/>
      <c r="O46" s="786"/>
      <c r="P46" s="477"/>
      <c r="Q46" s="477"/>
      <c r="R46" s="784" t="s">
        <v>83</v>
      </c>
      <c r="S46" s="785" t="s">
        <v>84</v>
      </c>
      <c r="T46" s="477"/>
      <c r="U46" s="477"/>
      <c r="V46" s="477"/>
      <c r="W46" s="477"/>
      <c r="X46" s="784" t="s">
        <v>83</v>
      </c>
      <c r="Y46" s="785" t="s">
        <v>84</v>
      </c>
      <c r="Z46" s="477"/>
      <c r="AA46" s="477"/>
      <c r="AB46" s="3"/>
      <c r="AC46" s="3"/>
      <c r="AD46" s="3"/>
      <c r="AE46" s="3"/>
      <c r="AF46" s="3"/>
    </row>
    <row r="47" spans="1:32" ht="15.75" thickBot="1" x14ac:dyDescent="0.3">
      <c r="A47" s="3"/>
      <c r="B47" s="371"/>
      <c r="C47" s="875"/>
      <c r="D47" s="778">
        <v>0</v>
      </c>
      <c r="E47" s="787">
        <v>0</v>
      </c>
      <c r="F47" s="781"/>
      <c r="G47" s="781"/>
      <c r="H47" s="781"/>
      <c r="I47" s="781"/>
      <c r="J47" s="781"/>
      <c r="K47" s="782"/>
      <c r="L47" s="778">
        <v>0</v>
      </c>
      <c r="M47" s="787">
        <v>0</v>
      </c>
      <c r="N47" s="788"/>
      <c r="O47" s="788"/>
      <c r="P47" s="477"/>
      <c r="Q47" s="477"/>
      <c r="R47" s="778">
        <v>0</v>
      </c>
      <c r="S47" s="787">
        <v>0</v>
      </c>
      <c r="T47" s="477"/>
      <c r="U47" s="477"/>
      <c r="V47" s="477"/>
      <c r="W47" s="477"/>
      <c r="X47" s="778">
        <v>0</v>
      </c>
      <c r="Y47" s="787">
        <v>0</v>
      </c>
      <c r="Z47" s="477"/>
      <c r="AA47" s="477"/>
      <c r="AB47" s="3"/>
      <c r="AC47" s="3"/>
      <c r="AD47" s="3"/>
      <c r="AE47" s="3"/>
      <c r="AF47" s="3"/>
    </row>
    <row r="48" spans="1:32" x14ac:dyDescent="0.25">
      <c r="A48" s="3"/>
      <c r="B48" s="371"/>
      <c r="C48" s="370"/>
      <c r="D48" s="781"/>
      <c r="E48" s="781"/>
      <c r="F48" s="781"/>
      <c r="G48" s="781"/>
      <c r="H48" s="781"/>
      <c r="I48" s="781"/>
      <c r="J48" s="781"/>
      <c r="K48" s="782"/>
      <c r="L48" s="781"/>
      <c r="M48" s="781"/>
      <c r="N48" s="781"/>
      <c r="O48" s="781"/>
      <c r="P48" s="781"/>
      <c r="Q48" s="782"/>
      <c r="R48" s="782"/>
      <c r="S48" s="782"/>
      <c r="T48" s="782"/>
      <c r="U48" s="782"/>
      <c r="V48" s="782"/>
      <c r="W48" s="782"/>
      <c r="X48" s="477"/>
      <c r="Y48" s="477"/>
      <c r="Z48" s="477"/>
      <c r="AA48" s="477"/>
      <c r="AB48" s="3"/>
      <c r="AC48" s="3"/>
      <c r="AD48" s="3"/>
      <c r="AE48" s="3"/>
      <c r="AF48" s="3"/>
    </row>
    <row r="49" spans="1:32" x14ac:dyDescent="0.25">
      <c r="A49" s="3"/>
      <c r="B49" s="371"/>
      <c r="C49" s="375" t="s">
        <v>85</v>
      </c>
      <c r="D49" s="789" t="s">
        <v>86</v>
      </c>
      <c r="E49" s="789" t="s">
        <v>87</v>
      </c>
      <c r="F49" s="789" t="s">
        <v>88</v>
      </c>
      <c r="G49" s="789" t="s">
        <v>89</v>
      </c>
      <c r="H49" s="781"/>
      <c r="I49" s="781"/>
      <c r="J49" s="781"/>
      <c r="K49" s="477"/>
      <c r="L49" s="789" t="s">
        <v>86</v>
      </c>
      <c r="M49" s="789" t="s">
        <v>87</v>
      </c>
      <c r="N49" s="789" t="s">
        <v>88</v>
      </c>
      <c r="O49" s="789" t="s">
        <v>90</v>
      </c>
      <c r="P49" s="477"/>
      <c r="Q49" s="477"/>
      <c r="R49" s="789" t="s">
        <v>86</v>
      </c>
      <c r="S49" s="789" t="s">
        <v>87</v>
      </c>
      <c r="T49" s="789" t="s">
        <v>88</v>
      </c>
      <c r="U49" s="789" t="s">
        <v>232</v>
      </c>
      <c r="V49" s="477"/>
      <c r="W49" s="477"/>
      <c r="X49" s="789" t="s">
        <v>92</v>
      </c>
      <c r="Y49" s="789" t="s">
        <v>87</v>
      </c>
      <c r="Z49" s="789" t="s">
        <v>88</v>
      </c>
      <c r="AA49" s="789" t="s">
        <v>90</v>
      </c>
      <c r="AB49" s="3"/>
      <c r="AC49" s="3"/>
      <c r="AD49" s="3"/>
      <c r="AE49" s="3"/>
      <c r="AF49" s="3"/>
    </row>
    <row r="50" spans="1:32" x14ac:dyDescent="0.25">
      <c r="A50" s="3"/>
      <c r="B50" s="371"/>
      <c r="C50" s="373" t="s">
        <v>93</v>
      </c>
      <c r="D50" s="790">
        <f>SUM(D51:D54)</f>
        <v>3315.9300000000003</v>
      </c>
      <c r="E50" s="790">
        <f t="shared" ref="E50:F50" si="25">SUM(E51:E54)</f>
        <v>2048.4</v>
      </c>
      <c r="F50" s="790">
        <f t="shared" si="25"/>
        <v>2235.1</v>
      </c>
      <c r="G50" s="791">
        <f>D50+E50-F50</f>
        <v>3129.23</v>
      </c>
      <c r="H50" s="781"/>
      <c r="I50" s="781"/>
      <c r="J50" s="781"/>
      <c r="K50" s="477"/>
      <c r="L50" s="790">
        <f>SUM(L51:L54)</f>
        <v>2410.1999999999998</v>
      </c>
      <c r="M50" s="790">
        <f t="shared" ref="M50:O50" si="26">SUM(M51:M54)</f>
        <v>1760.4</v>
      </c>
      <c r="N50" s="790">
        <f t="shared" si="26"/>
        <v>1304.5</v>
      </c>
      <c r="O50" s="790">
        <f t="shared" si="26"/>
        <v>2866.1</v>
      </c>
      <c r="P50" s="477"/>
      <c r="Q50" s="477"/>
      <c r="R50" s="790">
        <f>SUM(R51:R54)</f>
        <v>3129.2999999999997</v>
      </c>
      <c r="S50" s="790">
        <f t="shared" ref="S50:T50" si="27">SUM(S51:S54)</f>
        <v>1362.7</v>
      </c>
      <c r="T50" s="790">
        <f t="shared" si="27"/>
        <v>1391.7</v>
      </c>
      <c r="U50" s="791">
        <f>R50+S50-T50</f>
        <v>3100.3</v>
      </c>
      <c r="V50" s="477"/>
      <c r="W50" s="477"/>
      <c r="X50" s="790">
        <f>SUM(X51:X54)</f>
        <v>2532.4</v>
      </c>
      <c r="Y50" s="790">
        <f t="shared" ref="Y50:Z50" si="28">SUM(Y51:Y54)</f>
        <v>1798.7</v>
      </c>
      <c r="Z50" s="790">
        <f t="shared" si="28"/>
        <v>1247.0999999999999</v>
      </c>
      <c r="AA50" s="791">
        <f>X50+Y50-Z50</f>
        <v>3084.0000000000005</v>
      </c>
      <c r="AB50" s="3"/>
      <c r="AC50" s="3"/>
      <c r="AD50" s="3"/>
      <c r="AE50" s="3"/>
      <c r="AF50" s="3"/>
    </row>
    <row r="51" spans="1:32" x14ac:dyDescent="0.25">
      <c r="A51" s="3"/>
      <c r="B51" s="371"/>
      <c r="C51" s="373" t="s">
        <v>94</v>
      </c>
      <c r="D51" s="790">
        <v>2089.33</v>
      </c>
      <c r="E51" s="790">
        <f>155.6+321.5</f>
        <v>477.1</v>
      </c>
      <c r="F51" s="790">
        <v>1061.4000000000001</v>
      </c>
      <c r="G51" s="791">
        <f t="shared" ref="G51:G54" si="29">D51+E51-F51</f>
        <v>1505.0299999999997</v>
      </c>
      <c r="H51" s="781"/>
      <c r="I51" s="781"/>
      <c r="J51" s="781"/>
      <c r="K51" s="477"/>
      <c r="L51" s="790">
        <v>887.1</v>
      </c>
      <c r="M51" s="790">
        <v>217</v>
      </c>
      <c r="N51" s="790">
        <v>90</v>
      </c>
      <c r="O51" s="791">
        <f t="shared" ref="O51:O54" si="30">L51+M51-N51</f>
        <v>1014.0999999999999</v>
      </c>
      <c r="P51" s="477"/>
      <c r="Q51" s="477"/>
      <c r="R51" s="790">
        <v>1505.1</v>
      </c>
      <c r="S51" s="790">
        <v>159.5</v>
      </c>
      <c r="T51" s="790">
        <v>331</v>
      </c>
      <c r="U51" s="791">
        <f t="shared" ref="U51:U54" si="31">R51+S51-T51</f>
        <v>1333.6</v>
      </c>
      <c r="V51" s="477"/>
      <c r="W51" s="477"/>
      <c r="X51" s="790">
        <v>1130</v>
      </c>
      <c r="Y51" s="790">
        <v>170</v>
      </c>
      <c r="Z51" s="790">
        <v>100</v>
      </c>
      <c r="AA51" s="791">
        <f>X51+Y51-Z51</f>
        <v>1200</v>
      </c>
      <c r="AB51" s="3"/>
      <c r="AC51" s="3"/>
      <c r="AD51" s="3"/>
      <c r="AE51" s="3"/>
      <c r="AF51" s="3"/>
    </row>
    <row r="52" spans="1:32" x14ac:dyDescent="0.25">
      <c r="A52" s="3"/>
      <c r="B52" s="371"/>
      <c r="C52" s="373" t="s">
        <v>95</v>
      </c>
      <c r="D52" s="790">
        <v>387.8</v>
      </c>
      <c r="E52" s="790">
        <v>902.6</v>
      </c>
      <c r="F52" s="790">
        <v>638.6</v>
      </c>
      <c r="G52" s="791">
        <f t="shared" si="29"/>
        <v>651.80000000000007</v>
      </c>
      <c r="H52" s="781"/>
      <c r="I52" s="781"/>
      <c r="J52" s="781"/>
      <c r="K52" s="477"/>
      <c r="L52" s="790">
        <v>521.29999999999995</v>
      </c>
      <c r="M52" s="790">
        <v>910</v>
      </c>
      <c r="N52" s="790">
        <v>637.5</v>
      </c>
      <c r="O52" s="791">
        <f t="shared" si="30"/>
        <v>793.8</v>
      </c>
      <c r="P52" s="477"/>
      <c r="Q52" s="477"/>
      <c r="R52" s="790">
        <v>651.79999999999995</v>
      </c>
      <c r="S52" s="790">
        <v>901</v>
      </c>
      <c r="T52" s="790">
        <v>642</v>
      </c>
      <c r="U52" s="791">
        <f t="shared" si="31"/>
        <v>910.8</v>
      </c>
      <c r="V52" s="477"/>
      <c r="W52" s="477"/>
      <c r="X52" s="790">
        <v>260</v>
      </c>
      <c r="Y52" s="790">
        <v>980</v>
      </c>
      <c r="Z52" s="790">
        <v>642.1</v>
      </c>
      <c r="AA52" s="791">
        <f t="shared" ref="AA52:AA54" si="32">X52+Y52-Z52</f>
        <v>597.9</v>
      </c>
      <c r="AB52" s="3"/>
      <c r="AC52" s="3"/>
      <c r="AD52" s="3"/>
      <c r="AE52" s="3"/>
      <c r="AF52" s="3"/>
    </row>
    <row r="53" spans="1:32" x14ac:dyDescent="0.25">
      <c r="A53" s="3"/>
      <c r="B53" s="371"/>
      <c r="C53" s="373" t="s">
        <v>96</v>
      </c>
      <c r="D53" s="790">
        <v>134.30000000000001</v>
      </c>
      <c r="E53" s="790">
        <v>38.9</v>
      </c>
      <c r="F53" s="790">
        <v>0.8</v>
      </c>
      <c r="G53" s="791">
        <f t="shared" si="29"/>
        <v>172.4</v>
      </c>
      <c r="H53" s="781"/>
      <c r="I53" s="781"/>
      <c r="J53" s="781"/>
      <c r="K53" s="477"/>
      <c r="L53" s="790">
        <v>136.30000000000001</v>
      </c>
      <c r="M53" s="790">
        <v>11</v>
      </c>
      <c r="N53" s="790">
        <v>7</v>
      </c>
      <c r="O53" s="791">
        <f t="shared" si="30"/>
        <v>140.30000000000001</v>
      </c>
      <c r="P53" s="477"/>
      <c r="Q53" s="477"/>
      <c r="R53" s="790">
        <v>172.4</v>
      </c>
      <c r="S53" s="790">
        <v>5</v>
      </c>
      <c r="T53" s="790">
        <v>0</v>
      </c>
      <c r="U53" s="791">
        <f t="shared" si="31"/>
        <v>177.4</v>
      </c>
      <c r="V53" s="477"/>
      <c r="W53" s="477"/>
      <c r="X53" s="790">
        <v>172.4</v>
      </c>
      <c r="Y53" s="790">
        <v>7</v>
      </c>
      <c r="Z53" s="790">
        <v>5</v>
      </c>
      <c r="AA53" s="791">
        <f t="shared" si="32"/>
        <v>174.4</v>
      </c>
      <c r="AB53" s="3"/>
      <c r="AC53" s="3"/>
      <c r="AD53" s="3"/>
      <c r="AE53" s="3"/>
      <c r="AF53" s="3"/>
    </row>
    <row r="54" spans="1:32" x14ac:dyDescent="0.25">
      <c r="A54" s="3"/>
      <c r="B54" s="371"/>
      <c r="C54" s="376" t="s">
        <v>97</v>
      </c>
      <c r="D54" s="790">
        <v>704.5</v>
      </c>
      <c r="E54" s="790">
        <v>629.79999999999995</v>
      </c>
      <c r="F54" s="790">
        <v>534.29999999999995</v>
      </c>
      <c r="G54" s="791">
        <f t="shared" si="29"/>
        <v>800</v>
      </c>
      <c r="H54" s="781"/>
      <c r="I54" s="781"/>
      <c r="J54" s="781"/>
      <c r="K54" s="477"/>
      <c r="L54" s="790">
        <v>865.5</v>
      </c>
      <c r="M54" s="790">
        <v>622.4</v>
      </c>
      <c r="N54" s="790">
        <v>570</v>
      </c>
      <c r="O54" s="791">
        <f t="shared" si="30"/>
        <v>917.90000000000009</v>
      </c>
      <c r="P54" s="477"/>
      <c r="Q54" s="477"/>
      <c r="R54" s="790">
        <v>800</v>
      </c>
      <c r="S54" s="790">
        <v>297.2</v>
      </c>
      <c r="T54" s="790">
        <v>418.7</v>
      </c>
      <c r="U54" s="791">
        <f t="shared" si="31"/>
        <v>678.5</v>
      </c>
      <c r="V54" s="477"/>
      <c r="W54" s="477"/>
      <c r="X54" s="790">
        <v>970</v>
      </c>
      <c r="Y54" s="790">
        <f>626.7+15</f>
        <v>641.70000000000005</v>
      </c>
      <c r="Z54" s="790">
        <v>500</v>
      </c>
      <c r="AA54" s="791">
        <f t="shared" si="32"/>
        <v>1111.7</v>
      </c>
      <c r="AB54" s="3"/>
      <c r="AC54" s="3"/>
      <c r="AD54" s="3"/>
      <c r="AE54" s="3"/>
      <c r="AF54" s="3"/>
    </row>
    <row r="55" spans="1:32" ht="10.5" customHeight="1" x14ac:dyDescent="0.25">
      <c r="A55" s="3"/>
      <c r="B55" s="371"/>
      <c r="C55" s="370"/>
      <c r="D55" s="781"/>
      <c r="E55" s="781"/>
      <c r="F55" s="781"/>
      <c r="G55" s="781"/>
      <c r="H55" s="781"/>
      <c r="I55" s="781"/>
      <c r="J55" s="781"/>
      <c r="K55" s="477"/>
      <c r="L55" s="477"/>
      <c r="M55" s="477"/>
      <c r="N55" s="477"/>
      <c r="O55" s="477"/>
      <c r="P55" s="477"/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3"/>
      <c r="AC55" s="3"/>
      <c r="AD55" s="3"/>
      <c r="AE55" s="3"/>
      <c r="AF55" s="3"/>
    </row>
    <row r="56" spans="1:32" x14ac:dyDescent="0.25">
      <c r="A56" s="3"/>
      <c r="B56" s="371"/>
      <c r="C56" s="375" t="s">
        <v>98</v>
      </c>
      <c r="D56" s="789" t="s">
        <v>99</v>
      </c>
      <c r="E56" s="789" t="s">
        <v>100</v>
      </c>
      <c r="F56" s="781"/>
      <c r="G56" s="781"/>
      <c r="H56" s="781"/>
      <c r="I56" s="781"/>
      <c r="J56" s="781"/>
      <c r="K56" s="782"/>
      <c r="L56" s="789" t="s">
        <v>101</v>
      </c>
      <c r="M56" s="781"/>
      <c r="N56" s="781"/>
      <c r="O56" s="781"/>
      <c r="P56" s="781"/>
      <c r="Q56" s="782"/>
      <c r="R56" s="789" t="s">
        <v>102</v>
      </c>
      <c r="S56" s="782"/>
      <c r="T56" s="782"/>
      <c r="U56" s="782"/>
      <c r="V56" s="782"/>
      <c r="W56" s="782"/>
      <c r="X56" s="789" t="s">
        <v>101</v>
      </c>
      <c r="Y56" s="477"/>
      <c r="Z56" s="477"/>
      <c r="AA56" s="477"/>
      <c r="AB56" s="3"/>
      <c r="AC56" s="3"/>
      <c r="AD56" s="3"/>
      <c r="AE56" s="3"/>
      <c r="AF56" s="3"/>
    </row>
    <row r="57" spans="1:32" x14ac:dyDescent="0.25">
      <c r="A57" s="3"/>
      <c r="B57" s="371"/>
      <c r="C57" s="373"/>
      <c r="D57" s="792">
        <v>70.400000000000006</v>
      </c>
      <c r="E57" s="792">
        <v>63.8</v>
      </c>
      <c r="F57" s="781"/>
      <c r="G57" s="781"/>
      <c r="H57" s="781"/>
      <c r="I57" s="781"/>
      <c r="J57" s="781"/>
      <c r="K57" s="782"/>
      <c r="L57" s="792">
        <v>70.3</v>
      </c>
      <c r="M57" s="781"/>
      <c r="N57" s="781"/>
      <c r="O57" s="781"/>
      <c r="P57" s="781"/>
      <c r="Q57" s="782"/>
      <c r="R57" s="792">
        <v>63.9</v>
      </c>
      <c r="S57" s="782"/>
      <c r="T57" s="782"/>
      <c r="U57" s="782"/>
      <c r="V57" s="782"/>
      <c r="W57" s="782"/>
      <c r="X57" s="792">
        <v>63.9</v>
      </c>
      <c r="Y57" s="477"/>
      <c r="Z57" s="477"/>
      <c r="AA57" s="477"/>
      <c r="AB57" s="3"/>
      <c r="AC57" s="3"/>
      <c r="AD57" s="3"/>
      <c r="AE57" s="3"/>
      <c r="AF57" s="3"/>
    </row>
    <row r="58" spans="1:32" x14ac:dyDescent="0.25">
      <c r="A58" s="3"/>
      <c r="B58" s="371"/>
      <c r="C58" s="370"/>
      <c r="D58" s="369"/>
      <c r="E58" s="369"/>
      <c r="F58" s="369"/>
      <c r="G58" s="369"/>
      <c r="H58" s="369"/>
      <c r="I58" s="369"/>
      <c r="J58" s="369"/>
      <c r="K58" s="368"/>
      <c r="L58" s="369"/>
      <c r="M58" s="369"/>
      <c r="N58" s="369"/>
      <c r="O58" s="369"/>
      <c r="P58" s="369"/>
      <c r="Q58" s="368"/>
      <c r="R58" s="368"/>
      <c r="S58" s="368"/>
      <c r="T58" s="368"/>
      <c r="U58" s="368"/>
      <c r="V58" s="368"/>
      <c r="W58" s="368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25">
      <c r="A59" s="3"/>
      <c r="B59" s="367" t="s">
        <v>103</v>
      </c>
      <c r="C59" s="366"/>
      <c r="D59" s="876"/>
      <c r="E59" s="876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6"/>
      <c r="Q59" s="876"/>
      <c r="R59" s="876"/>
      <c r="S59" s="876"/>
      <c r="T59" s="876"/>
      <c r="U59" s="876"/>
      <c r="V59" s="876"/>
      <c r="W59" s="876"/>
      <c r="X59" s="365"/>
      <c r="Y59" s="365"/>
      <c r="Z59" s="365"/>
      <c r="AA59" s="365"/>
      <c r="AB59" s="365"/>
      <c r="AC59" s="365"/>
      <c r="AD59" s="364"/>
      <c r="AE59" s="3"/>
      <c r="AF59" s="3"/>
    </row>
    <row r="60" spans="1:32" x14ac:dyDescent="0.25">
      <c r="A60" s="3"/>
      <c r="B60" s="363" t="s">
        <v>233</v>
      </c>
      <c r="O60"/>
      <c r="AD60" s="357"/>
      <c r="AE60" s="3"/>
      <c r="AF60" s="3"/>
    </row>
    <row r="61" spans="1:32" x14ac:dyDescent="0.25">
      <c r="A61" s="3"/>
      <c r="B61" s="793" t="s">
        <v>234</v>
      </c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702"/>
      <c r="N61" s="702"/>
      <c r="O61" s="702"/>
      <c r="P61" s="702"/>
      <c r="Q61" s="702"/>
      <c r="R61" s="702"/>
      <c r="S61" s="702"/>
      <c r="T61" s="702"/>
      <c r="U61" s="702"/>
      <c r="V61" s="702"/>
      <c r="W61" s="702"/>
      <c r="AD61" s="357"/>
      <c r="AE61" s="3"/>
      <c r="AF61" s="3"/>
    </row>
    <row r="62" spans="1:32" x14ac:dyDescent="0.25">
      <c r="A62" s="3"/>
      <c r="B62" s="794"/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AD62" s="357"/>
      <c r="AE62" s="3"/>
      <c r="AF62" s="3"/>
    </row>
    <row r="63" spans="1:32" x14ac:dyDescent="0.25">
      <c r="A63" s="3"/>
      <c r="B63" s="794" t="s">
        <v>235</v>
      </c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AD63" s="357"/>
      <c r="AE63" s="3"/>
      <c r="AF63" s="3"/>
    </row>
    <row r="64" spans="1:32" x14ac:dyDescent="0.25">
      <c r="A64" s="3"/>
      <c r="B64" s="796" t="s">
        <v>236</v>
      </c>
      <c r="C64" s="797"/>
      <c r="D64" s="797"/>
      <c r="E64" s="797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AD64" s="357"/>
      <c r="AE64" s="3"/>
      <c r="AF64" s="3"/>
    </row>
    <row r="65" spans="1:32" x14ac:dyDescent="0.25">
      <c r="A65" s="3"/>
      <c r="B65" s="798"/>
      <c r="C65" s="797"/>
      <c r="D65" s="797"/>
      <c r="E65" s="797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AD65" s="357"/>
      <c r="AE65" s="3"/>
      <c r="AF65" s="3"/>
    </row>
    <row r="66" spans="1:32" x14ac:dyDescent="0.25">
      <c r="A66" s="3"/>
      <c r="B66" s="796" t="s">
        <v>237</v>
      </c>
      <c r="C66" s="797"/>
      <c r="D66" s="797"/>
      <c r="E66" s="797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AD66" s="357"/>
      <c r="AE66" s="3"/>
      <c r="AF66" s="3"/>
    </row>
    <row r="67" spans="1:32" x14ac:dyDescent="0.25">
      <c r="A67" s="3"/>
      <c r="B67" s="796"/>
      <c r="C67" s="797"/>
      <c r="D67" s="797"/>
      <c r="E67" s="797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AD67" s="357"/>
      <c r="AE67" s="3"/>
      <c r="AF67" s="3"/>
    </row>
    <row r="68" spans="1:32" x14ac:dyDescent="0.25">
      <c r="A68" s="3"/>
      <c r="B68" s="362" t="s">
        <v>238</v>
      </c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AD68" s="357"/>
      <c r="AE68" s="3"/>
      <c r="AF68" s="3"/>
    </row>
    <row r="69" spans="1:32" x14ac:dyDescent="0.25">
      <c r="A69" s="3"/>
      <c r="B69" s="799" t="s">
        <v>239</v>
      </c>
      <c r="C69" s="800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AD69" s="357"/>
      <c r="AE69" s="3"/>
      <c r="AF69" s="3"/>
    </row>
    <row r="70" spans="1:32" x14ac:dyDescent="0.25">
      <c r="A70" s="3"/>
      <c r="B70" s="799"/>
      <c r="C70" s="800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AD70" s="357"/>
      <c r="AE70" s="3"/>
      <c r="AF70" s="3"/>
    </row>
    <row r="71" spans="1:32" x14ac:dyDescent="0.25">
      <c r="A71" s="3"/>
      <c r="B71" s="799" t="s">
        <v>240</v>
      </c>
      <c r="C71" s="800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AD71" s="357"/>
      <c r="AE71" s="3"/>
      <c r="AF71" s="3"/>
    </row>
    <row r="72" spans="1:32" x14ac:dyDescent="0.25">
      <c r="A72" s="3"/>
      <c r="B72" s="799"/>
      <c r="C72" s="800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AD72" s="357"/>
      <c r="AE72" s="3"/>
      <c r="AF72" s="3"/>
    </row>
    <row r="73" spans="1:32" x14ac:dyDescent="0.25">
      <c r="A73" s="3"/>
      <c r="B73" s="799" t="s">
        <v>241</v>
      </c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AD73" s="357"/>
      <c r="AE73" s="3"/>
      <c r="AF73" s="3"/>
    </row>
    <row r="74" spans="1:32" x14ac:dyDescent="0.25">
      <c r="A74" s="3"/>
      <c r="B74" s="362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AD74" s="357"/>
      <c r="AE74" s="3"/>
      <c r="AF74" s="3"/>
    </row>
    <row r="75" spans="1:32" x14ac:dyDescent="0.25">
      <c r="A75" s="3"/>
      <c r="B75" s="362" t="s">
        <v>242</v>
      </c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AD75" s="357"/>
      <c r="AE75" s="3"/>
      <c r="AF75" s="3"/>
    </row>
    <row r="76" spans="1:32" x14ac:dyDescent="0.25">
      <c r="A76" s="3"/>
      <c r="B76" s="362" t="s">
        <v>243</v>
      </c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AD76" s="357"/>
      <c r="AE76" s="3"/>
      <c r="AF76" s="3"/>
    </row>
    <row r="77" spans="1:32" x14ac:dyDescent="0.25">
      <c r="A77" s="3"/>
      <c r="B77" s="362" t="s">
        <v>244</v>
      </c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AD77" s="357"/>
      <c r="AE77" s="3"/>
      <c r="AF77" s="3"/>
    </row>
    <row r="78" spans="1:32" x14ac:dyDescent="0.25">
      <c r="A78" s="3"/>
      <c r="B78" s="362" t="s">
        <v>245</v>
      </c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AD78" s="357"/>
      <c r="AE78" s="3"/>
      <c r="AF78" s="3"/>
    </row>
    <row r="79" spans="1:32" x14ac:dyDescent="0.25">
      <c r="A79" s="3"/>
      <c r="B79" s="362"/>
      <c r="C79" s="358" t="s">
        <v>246</v>
      </c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AD79" s="357"/>
      <c r="AE79" s="3"/>
      <c r="AF79" s="3"/>
    </row>
    <row r="80" spans="1:32" x14ac:dyDescent="0.25">
      <c r="A80" s="3"/>
      <c r="B80" s="362"/>
      <c r="C80" s="358" t="s">
        <v>247</v>
      </c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AD80" s="357"/>
      <c r="AE80" s="3"/>
      <c r="AF80" s="3"/>
    </row>
    <row r="81" spans="1:32" x14ac:dyDescent="0.25">
      <c r="A81" s="3"/>
      <c r="B81" s="362"/>
      <c r="C81" s="358" t="s">
        <v>248</v>
      </c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AD81" s="357"/>
      <c r="AE81" s="3"/>
      <c r="AF81" s="3"/>
    </row>
    <row r="82" spans="1:32" x14ac:dyDescent="0.25">
      <c r="A82" s="3"/>
      <c r="B82" s="362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AD82" s="357"/>
      <c r="AE82" s="3"/>
      <c r="AF82" s="3"/>
    </row>
    <row r="83" spans="1:32" x14ac:dyDescent="0.25">
      <c r="A83" s="3"/>
      <c r="B83" s="794"/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N83" s="795"/>
      <c r="O83" s="795"/>
      <c r="P83" s="795"/>
      <c r="Q83" s="795"/>
      <c r="R83" s="795"/>
      <c r="S83" s="795"/>
      <c r="T83" s="795"/>
      <c r="U83" s="795"/>
      <c r="V83" s="795"/>
      <c r="W83" s="795"/>
      <c r="AD83" s="357"/>
      <c r="AE83" s="3"/>
      <c r="AF83" s="3"/>
    </row>
    <row r="84" spans="1:32" x14ac:dyDescent="0.25">
      <c r="A84" s="3"/>
      <c r="B84" s="361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AD84" s="357"/>
      <c r="AE84" s="3"/>
      <c r="AF84" s="3"/>
    </row>
    <row r="85" spans="1:32" x14ac:dyDescent="0.25">
      <c r="A85" s="3"/>
      <c r="B85" s="361"/>
      <c r="C85" s="359"/>
      <c r="D85" s="359"/>
      <c r="E85" s="359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AD85" s="357"/>
      <c r="AE85" s="3"/>
      <c r="AF85" s="3"/>
    </row>
    <row r="86" spans="1:32" x14ac:dyDescent="0.25">
      <c r="A86" s="3"/>
      <c r="B86" s="361"/>
      <c r="C86" s="360"/>
      <c r="D86" s="359"/>
      <c r="E86" s="359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AD86" s="357"/>
      <c r="AE86" s="3"/>
      <c r="AF86" s="3"/>
    </row>
    <row r="87" spans="1:32" x14ac:dyDescent="0.25">
      <c r="A87" s="3"/>
      <c r="B87" s="361"/>
      <c r="C87" s="360"/>
      <c r="D87" s="359"/>
      <c r="E87" s="359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AD87" s="357"/>
      <c r="AE87" s="3"/>
      <c r="AF87" s="3"/>
    </row>
    <row r="88" spans="1:32" x14ac:dyDescent="0.25">
      <c r="A88" s="3"/>
      <c r="B88" s="356"/>
      <c r="C88" s="355"/>
      <c r="D88" s="354"/>
      <c r="E88" s="354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353"/>
      <c r="U88" s="353"/>
      <c r="V88" s="353"/>
      <c r="W88" s="353"/>
      <c r="X88" s="352"/>
      <c r="Y88" s="352"/>
      <c r="Z88" s="352"/>
      <c r="AA88" s="352"/>
      <c r="AB88" s="352"/>
      <c r="AC88" s="352"/>
      <c r="AD88" s="351"/>
      <c r="AE88" s="3"/>
      <c r="AF88" s="3"/>
    </row>
    <row r="89" spans="1:32" x14ac:dyDescent="0.25">
      <c r="A89" s="3"/>
      <c r="B89" s="349"/>
      <c r="C89" s="350"/>
      <c r="D89" s="349"/>
      <c r="E89" s="349"/>
      <c r="F89" s="348"/>
      <c r="G89" s="348"/>
      <c r="H89" s="348"/>
      <c r="I89" s="348"/>
      <c r="J89" s="348"/>
      <c r="K89" s="348"/>
      <c r="L89" s="348"/>
      <c r="M89" s="348"/>
      <c r="N89" s="348"/>
      <c r="O89" s="348"/>
      <c r="P89" s="348"/>
      <c r="Q89" s="348"/>
      <c r="R89" s="348"/>
      <c r="S89" s="348"/>
      <c r="T89" s="348"/>
      <c r="U89" s="348"/>
      <c r="V89" s="348"/>
      <c r="W89" s="348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25">
      <c r="A90" s="3"/>
      <c r="B90" s="349"/>
      <c r="C90" s="350"/>
      <c r="D90" s="349"/>
      <c r="E90" s="349"/>
      <c r="F90" s="348"/>
      <c r="G90" s="348"/>
      <c r="H90" s="348"/>
      <c r="I90" s="348"/>
      <c r="J90" s="348"/>
      <c r="K90" s="348"/>
      <c r="L90" s="348"/>
      <c r="M90" s="348"/>
      <c r="N90" s="348"/>
      <c r="O90" s="348"/>
      <c r="P90" s="348"/>
      <c r="Q90" s="348"/>
      <c r="R90" s="348"/>
      <c r="S90" s="348"/>
      <c r="T90" s="348"/>
      <c r="U90" s="348"/>
      <c r="V90" s="348"/>
      <c r="W90" s="348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25">
      <c r="A91" s="3"/>
      <c r="B91" s="344"/>
      <c r="C91" s="344"/>
      <c r="D91" s="344"/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25">
      <c r="A92" s="3"/>
      <c r="B92" s="344" t="s">
        <v>109</v>
      </c>
      <c r="C92" s="347">
        <v>44854</v>
      </c>
      <c r="D92" s="344" t="s">
        <v>110</v>
      </c>
      <c r="E92" s="868" t="s">
        <v>249</v>
      </c>
      <c r="F92" s="868"/>
      <c r="G92" s="868"/>
      <c r="H92" s="358"/>
      <c r="I92" s="358"/>
      <c r="J92" s="344"/>
      <c r="K92" s="344" t="s">
        <v>112</v>
      </c>
      <c r="L92" s="869" t="s">
        <v>250</v>
      </c>
      <c r="M92" s="869"/>
      <c r="N92" s="869"/>
      <c r="O92" s="869"/>
      <c r="P92" s="344"/>
      <c r="Q92" s="344"/>
      <c r="R92" s="344"/>
      <c r="S92" s="344"/>
      <c r="T92" s="344"/>
      <c r="U92" s="344"/>
      <c r="V92" s="344"/>
      <c r="W92" s="344"/>
      <c r="X92" s="3"/>
      <c r="Y92" s="3"/>
      <c r="Z92" s="3"/>
      <c r="AA92" s="3"/>
      <c r="AB92" s="3"/>
      <c r="AC92" s="3"/>
      <c r="AD92" s="3"/>
      <c r="AE92" s="3"/>
      <c r="AF92" s="3"/>
    </row>
    <row r="93" spans="1:32" ht="7.5" customHeight="1" x14ac:dyDescent="0.25">
      <c r="A93" s="3"/>
      <c r="B93" s="344"/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25">
      <c r="A94" s="3"/>
      <c r="B94" s="344"/>
      <c r="C94" s="344"/>
      <c r="D94" s="344" t="s">
        <v>114</v>
      </c>
      <c r="E94" s="346"/>
      <c r="F94" s="346"/>
      <c r="G94" s="346"/>
      <c r="H94" s="346"/>
      <c r="I94" s="346"/>
      <c r="J94" s="344"/>
      <c r="K94" s="344" t="s">
        <v>114</v>
      </c>
      <c r="L94" s="345"/>
      <c r="M94" s="345"/>
      <c r="N94" s="345"/>
      <c r="O94" s="345"/>
      <c r="P94" s="344"/>
      <c r="Q94" s="344"/>
      <c r="R94" s="344"/>
      <c r="S94" s="344"/>
      <c r="T94" s="344"/>
      <c r="U94" s="344"/>
      <c r="V94" s="344"/>
      <c r="W94" s="344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25">
      <c r="A95" s="3"/>
      <c r="B95" s="344"/>
      <c r="C95" s="344"/>
      <c r="D95" s="344"/>
      <c r="E95" s="346"/>
      <c r="F95" s="346"/>
      <c r="G95" s="346"/>
      <c r="H95" s="346"/>
      <c r="I95" s="346"/>
      <c r="J95" s="344"/>
      <c r="K95" s="344"/>
      <c r="L95" s="345"/>
      <c r="M95" s="345"/>
      <c r="N95" s="345"/>
      <c r="O95" s="345"/>
      <c r="P95" s="344"/>
      <c r="Q95" s="344"/>
      <c r="R95" s="344"/>
      <c r="S95" s="344"/>
      <c r="T95" s="344"/>
      <c r="U95" s="344"/>
      <c r="V95" s="344"/>
      <c r="W95" s="344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25">
      <c r="A96" s="3"/>
      <c r="B96" s="344"/>
      <c r="C96" s="344"/>
      <c r="D96" s="344"/>
      <c r="E96" s="344"/>
      <c r="F96" s="344"/>
      <c r="G96" s="344"/>
      <c r="H96" s="344"/>
      <c r="I96" s="344"/>
      <c r="J96" s="344"/>
      <c r="K96" s="344"/>
      <c r="L96" s="344"/>
      <c r="M96" s="344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25">
      <c r="A97" s="3"/>
      <c r="B97" s="344"/>
      <c r="C97" s="344"/>
      <c r="D97" s="344"/>
      <c r="E97" s="344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4"/>
      <c r="Q97" s="344"/>
      <c r="R97" s="344"/>
      <c r="S97" s="344"/>
      <c r="T97" s="344"/>
      <c r="U97" s="344"/>
      <c r="V97" s="344"/>
      <c r="W97" s="344"/>
      <c r="X97" s="3"/>
      <c r="Y97" s="3"/>
      <c r="Z97" s="3"/>
      <c r="AA97" s="3"/>
      <c r="AB97" s="3"/>
      <c r="AC97" s="3"/>
      <c r="AD97" s="3"/>
      <c r="AE97" s="3"/>
      <c r="AF97" s="3"/>
    </row>
    <row r="113" x14ac:dyDescent="0.25"/>
    <row r="114" ht="15" hidden="1" customHeight="1" x14ac:dyDescent="0.25"/>
    <row r="128" ht="15" hidden="1" customHeight="1" x14ac:dyDescent="0.25"/>
    <row r="129" ht="15" hidden="1" customHeight="1" x14ac:dyDescent="0.25"/>
  </sheetData>
  <mergeCells count="59">
    <mergeCell ref="B10:B13"/>
    <mergeCell ref="C10:C13"/>
    <mergeCell ref="D10:K10"/>
    <mergeCell ref="L10:Q10"/>
    <mergeCell ref="R10:W10"/>
    <mergeCell ref="G13:G14"/>
    <mergeCell ref="J13:J14"/>
    <mergeCell ref="K13:K14"/>
    <mergeCell ref="L13:N13"/>
    <mergeCell ref="V13:V14"/>
    <mergeCell ref="AD10:AD14"/>
    <mergeCell ref="D11:G11"/>
    <mergeCell ref="L11:O11"/>
    <mergeCell ref="R11:U11"/>
    <mergeCell ref="X11:AA11"/>
    <mergeCell ref="D12:K12"/>
    <mergeCell ref="L12:Q12"/>
    <mergeCell ref="R12:W12"/>
    <mergeCell ref="X12:AC12"/>
    <mergeCell ref="D13:F13"/>
    <mergeCell ref="X10:AC10"/>
    <mergeCell ref="O13:O14"/>
    <mergeCell ref="P13:P14"/>
    <mergeCell ref="Q13:Q14"/>
    <mergeCell ref="R13:T13"/>
    <mergeCell ref="U13:U14"/>
    <mergeCell ref="W13:W14"/>
    <mergeCell ref="X13:Z13"/>
    <mergeCell ref="AA13:AA14"/>
    <mergeCell ref="AB13:AB14"/>
    <mergeCell ref="AC13:AC14"/>
    <mergeCell ref="AD25:AD27"/>
    <mergeCell ref="B26:B27"/>
    <mergeCell ref="C26:C27"/>
    <mergeCell ref="D26:F26"/>
    <mergeCell ref="G26:G27"/>
    <mergeCell ref="J26:J27"/>
    <mergeCell ref="K26:K27"/>
    <mergeCell ref="L26:N26"/>
    <mergeCell ref="O26:O27"/>
    <mergeCell ref="P26:P27"/>
    <mergeCell ref="D25:K25"/>
    <mergeCell ref="L25:Q25"/>
    <mergeCell ref="R25:W25"/>
    <mergeCell ref="X25:AC25"/>
    <mergeCell ref="C43:C44"/>
    <mergeCell ref="C46:C47"/>
    <mergeCell ref="D59:W59"/>
    <mergeCell ref="Q26:Q27"/>
    <mergeCell ref="R26:T26"/>
    <mergeCell ref="U26:U27"/>
    <mergeCell ref="V26:V27"/>
    <mergeCell ref="W26:W27"/>
    <mergeCell ref="E92:G92"/>
    <mergeCell ref="L92:O92"/>
    <mergeCell ref="AA26:AA27"/>
    <mergeCell ref="AB26:AB27"/>
    <mergeCell ref="AC26:AC27"/>
    <mergeCell ref="X26:Z26"/>
  </mergeCells>
  <conditionalFormatting sqref="AD15:AD25">
    <cfRule type="cellIs" dxfId="23" priority="3" operator="equal">
      <formula>0</formula>
    </cfRule>
    <cfRule type="containsErrors" dxfId="22" priority="4">
      <formula>ISERROR(AD15)</formula>
    </cfRule>
  </conditionalFormatting>
  <conditionalFormatting sqref="AD28:AD41">
    <cfRule type="cellIs" dxfId="21" priority="1" operator="equal">
      <formula>0</formula>
    </cfRule>
    <cfRule type="containsErrors" dxfId="20" priority="2">
      <formula>ISERROR(AD28)</formula>
    </cfRule>
  </conditionalFormatting>
  <pageMargins left="0.25" right="0.25" top="0.75" bottom="0.75" header="0.3" footer="0.3"/>
  <pageSetup paperSize="8" scale="4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view="pageBreakPreview" zoomScale="80" zoomScaleNormal="80" zoomScaleSheetLayoutView="80" workbookViewId="0">
      <selection activeCell="J30" sqref="J3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59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251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46789791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27" t="s">
        <v>252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9</v>
      </c>
      <c r="K10" s="883"/>
      <c r="L10" s="883"/>
      <c r="M10" s="883"/>
      <c r="N10" s="883"/>
      <c r="O10" s="884"/>
      <c r="P10" s="882" t="s">
        <v>10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890"/>
      <c r="H14" s="892"/>
      <c r="I14" s="912"/>
      <c r="J14" s="11" t="s">
        <v>20</v>
      </c>
      <c r="K14" s="12" t="s">
        <v>21</v>
      </c>
      <c r="L14" s="12" t="s">
        <v>22</v>
      </c>
      <c r="M14" s="890"/>
      <c r="N14" s="892"/>
      <c r="O14" s="912"/>
      <c r="P14" s="11" t="s">
        <v>20</v>
      </c>
      <c r="Q14" s="12" t="s">
        <v>21</v>
      </c>
      <c r="R14" s="12" t="s">
        <v>22</v>
      </c>
      <c r="S14" s="890"/>
      <c r="T14" s="892"/>
      <c r="U14" s="912"/>
      <c r="V14" s="11" t="s">
        <v>20</v>
      </c>
      <c r="W14" s="12" t="s">
        <v>21</v>
      </c>
      <c r="X14" s="12" t="s">
        <v>22</v>
      </c>
      <c r="Y14" s="890"/>
      <c r="Z14" s="892"/>
      <c r="AA14" s="912"/>
      <c r="AB14" s="902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446.4</v>
      </c>
      <c r="G15" s="18">
        <f>SUM(D15:F15)</f>
        <v>446.4</v>
      </c>
      <c r="H15" s="19">
        <v>154.80000000000001</v>
      </c>
      <c r="I15" s="20">
        <f>G15+H15</f>
        <v>601.20000000000005</v>
      </c>
      <c r="J15" s="15"/>
      <c r="K15" s="16"/>
      <c r="L15" s="17">
        <v>400</v>
      </c>
      <c r="M15" s="18">
        <f t="shared" ref="M15:M23" si="0">SUM(J15:L15)</f>
        <v>400</v>
      </c>
      <c r="N15" s="19">
        <v>200</v>
      </c>
      <c r="O15" s="20">
        <f>M15+N15</f>
        <v>600</v>
      </c>
      <c r="P15" s="15"/>
      <c r="Q15" s="16"/>
      <c r="R15" s="17">
        <v>477</v>
      </c>
      <c r="S15" s="18">
        <f>SUM(P15:R15)</f>
        <v>477</v>
      </c>
      <c r="T15" s="19">
        <v>109.6</v>
      </c>
      <c r="U15" s="20">
        <f>S15+T15</f>
        <v>586.6</v>
      </c>
      <c r="V15" s="15"/>
      <c r="W15" s="16"/>
      <c r="X15" s="17">
        <v>550</v>
      </c>
      <c r="Y15" s="18">
        <f>SUM(V15:X15)</f>
        <v>550</v>
      </c>
      <c r="Z15" s="19">
        <v>220</v>
      </c>
      <c r="AA15" s="20">
        <f>Y15+Z15</f>
        <v>770</v>
      </c>
      <c r="AB15" s="21">
        <f>(AA15/O15)</f>
        <v>1.2833333333333334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4114.8</v>
      </c>
      <c r="E16" s="25"/>
      <c r="F16" s="25"/>
      <c r="G16" s="26">
        <f t="shared" ref="G16:G23" si="1">SUM(D16:F16)</f>
        <v>4114.8</v>
      </c>
      <c r="H16" s="27"/>
      <c r="I16" s="20">
        <f t="shared" ref="I16:I23" si="2">G16+H16</f>
        <v>4114.8</v>
      </c>
      <c r="J16" s="24">
        <v>4360.6000000000004</v>
      </c>
      <c r="K16" s="25"/>
      <c r="L16" s="25"/>
      <c r="M16" s="26">
        <f t="shared" si="0"/>
        <v>4360.6000000000004</v>
      </c>
      <c r="N16" s="27"/>
      <c r="O16" s="20">
        <f t="shared" ref="O16:O20" si="3">M16+N16</f>
        <v>4360.6000000000004</v>
      </c>
      <c r="P16" s="24">
        <v>2169</v>
      </c>
      <c r="Q16" s="25"/>
      <c r="R16" s="25"/>
      <c r="S16" s="26">
        <f t="shared" ref="S16:S23" si="4">SUM(P16:R16)</f>
        <v>2169</v>
      </c>
      <c r="T16" s="27"/>
      <c r="U16" s="20">
        <f t="shared" ref="U16:U20" si="5">S16+T16</f>
        <v>2169</v>
      </c>
      <c r="V16" s="24">
        <v>4866.8</v>
      </c>
      <c r="W16" s="25"/>
      <c r="X16" s="25"/>
      <c r="Y16" s="26">
        <f t="shared" ref="Y16:Y23" si="6">SUM(V16:X16)</f>
        <v>4866.8</v>
      </c>
      <c r="Z16" s="27"/>
      <c r="AA16" s="20">
        <f t="shared" ref="AA16:AA20" si="7">Y16+Z16</f>
        <v>4866.8</v>
      </c>
      <c r="AB16" s="21">
        <f t="shared" ref="AB16:AB24" si="8">(AA16/O16)</f>
        <v>1.1160849424391139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177.6</v>
      </c>
      <c r="E17" s="30"/>
      <c r="F17" s="30"/>
      <c r="G17" s="26">
        <f t="shared" si="1"/>
        <v>177.6</v>
      </c>
      <c r="H17" s="31"/>
      <c r="I17" s="20">
        <f t="shared" si="2"/>
        <v>177.6</v>
      </c>
      <c r="J17" s="29">
        <v>1256.9000000000001</v>
      </c>
      <c r="K17" s="30"/>
      <c r="L17" s="30"/>
      <c r="M17" s="26">
        <f t="shared" si="0"/>
        <v>1256.9000000000001</v>
      </c>
      <c r="N17" s="31"/>
      <c r="O17" s="20">
        <f t="shared" si="3"/>
        <v>1256.9000000000001</v>
      </c>
      <c r="P17" s="29">
        <v>155.5</v>
      </c>
      <c r="Q17" s="30"/>
      <c r="R17" s="30"/>
      <c r="S17" s="26">
        <f t="shared" si="4"/>
        <v>155.5</v>
      </c>
      <c r="T17" s="31"/>
      <c r="U17" s="20">
        <f t="shared" si="5"/>
        <v>155.5</v>
      </c>
      <c r="V17" s="29">
        <v>168.3</v>
      </c>
      <c r="W17" s="30"/>
      <c r="X17" s="30"/>
      <c r="Y17" s="26">
        <f t="shared" si="6"/>
        <v>168.3</v>
      </c>
      <c r="Z17" s="31"/>
      <c r="AA17" s="20">
        <f t="shared" si="7"/>
        <v>168.3</v>
      </c>
      <c r="AB17" s="21">
        <f t="shared" si="8"/>
        <v>0.13390086721298433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45664.6</v>
      </c>
      <c r="F18" s="30"/>
      <c r="G18" s="26">
        <f t="shared" si="1"/>
        <v>45664.6</v>
      </c>
      <c r="H18" s="19">
        <v>0</v>
      </c>
      <c r="I18" s="20">
        <f t="shared" si="2"/>
        <v>45664.6</v>
      </c>
      <c r="J18" s="33"/>
      <c r="K18" s="34">
        <v>47199.6</v>
      </c>
      <c r="L18" s="30"/>
      <c r="M18" s="26">
        <f t="shared" si="0"/>
        <v>47199.6</v>
      </c>
      <c r="N18" s="19">
        <v>0</v>
      </c>
      <c r="O18" s="20">
        <f t="shared" si="3"/>
        <v>47199.6</v>
      </c>
      <c r="P18" s="33"/>
      <c r="Q18" s="34">
        <v>24014</v>
      </c>
      <c r="R18" s="30"/>
      <c r="S18" s="26">
        <f t="shared" si="4"/>
        <v>24014</v>
      </c>
      <c r="T18" s="19">
        <v>0</v>
      </c>
      <c r="U18" s="20">
        <f t="shared" si="5"/>
        <v>24014</v>
      </c>
      <c r="V18" s="33"/>
      <c r="W18" s="34">
        <v>46628.6</v>
      </c>
      <c r="X18" s="30"/>
      <c r="Y18" s="26">
        <f t="shared" si="6"/>
        <v>46628.6</v>
      </c>
      <c r="Z18" s="19">
        <v>0</v>
      </c>
      <c r="AA18" s="20">
        <f t="shared" si="7"/>
        <v>46628.6</v>
      </c>
      <c r="AB18" s="21">
        <f t="shared" si="8"/>
        <v>0.9879024398511852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>
        <v>0</v>
      </c>
      <c r="G19" s="26">
        <f t="shared" si="1"/>
        <v>0</v>
      </c>
      <c r="H19" s="38">
        <v>0</v>
      </c>
      <c r="I19" s="20">
        <f t="shared" si="2"/>
        <v>0</v>
      </c>
      <c r="J19" s="36"/>
      <c r="K19" s="30"/>
      <c r="L19" s="37">
        <v>0</v>
      </c>
      <c r="M19" s="26">
        <f t="shared" si="0"/>
        <v>0</v>
      </c>
      <c r="N19" s="38">
        <v>0</v>
      </c>
      <c r="O19" s="20">
        <f t="shared" si="3"/>
        <v>0</v>
      </c>
      <c r="P19" s="36"/>
      <c r="Q19" s="30"/>
      <c r="R19" s="37">
        <v>0</v>
      </c>
      <c r="S19" s="26">
        <f t="shared" si="4"/>
        <v>0</v>
      </c>
      <c r="T19" s="38">
        <v>0</v>
      </c>
      <c r="U19" s="20">
        <f t="shared" si="5"/>
        <v>0</v>
      </c>
      <c r="V19" s="36"/>
      <c r="W19" s="30"/>
      <c r="X19" s="37">
        <v>0</v>
      </c>
      <c r="Y19" s="26">
        <f t="shared" si="6"/>
        <v>0</v>
      </c>
      <c r="Z19" s="38">
        <v>0</v>
      </c>
      <c r="AA19" s="20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364</v>
      </c>
      <c r="G20" s="26">
        <f t="shared" si="1"/>
        <v>364</v>
      </c>
      <c r="H20" s="38">
        <v>0</v>
      </c>
      <c r="I20" s="20">
        <f t="shared" si="2"/>
        <v>364</v>
      </c>
      <c r="J20" s="33"/>
      <c r="K20" s="25"/>
      <c r="L20" s="40">
        <v>254.8</v>
      </c>
      <c r="M20" s="26">
        <f t="shared" si="0"/>
        <v>254.8</v>
      </c>
      <c r="N20" s="38">
        <v>0</v>
      </c>
      <c r="O20" s="20">
        <f t="shared" si="3"/>
        <v>254.8</v>
      </c>
      <c r="P20" s="33"/>
      <c r="Q20" s="25"/>
      <c r="R20" s="40">
        <v>149.19999999999999</v>
      </c>
      <c r="S20" s="26">
        <f t="shared" si="4"/>
        <v>149.19999999999999</v>
      </c>
      <c r="T20" s="38">
        <v>0</v>
      </c>
      <c r="U20" s="20">
        <f t="shared" si="5"/>
        <v>149.19999999999999</v>
      </c>
      <c r="V20" s="33"/>
      <c r="W20" s="25"/>
      <c r="X20" s="40">
        <v>250.9</v>
      </c>
      <c r="Y20" s="26">
        <f t="shared" si="6"/>
        <v>250.9</v>
      </c>
      <c r="Z20" s="38">
        <v>0</v>
      </c>
      <c r="AA20" s="20">
        <f t="shared" si="7"/>
        <v>250.9</v>
      </c>
      <c r="AB20" s="21">
        <f t="shared" si="8"/>
        <v>0.98469387755102034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273.2</v>
      </c>
      <c r="G21" s="26">
        <f t="shared" si="1"/>
        <v>273.2</v>
      </c>
      <c r="H21" s="42">
        <v>409.4</v>
      </c>
      <c r="I21" s="20">
        <f>G21+H21</f>
        <v>682.59999999999991</v>
      </c>
      <c r="J21" s="33"/>
      <c r="K21" s="25"/>
      <c r="L21" s="40">
        <v>0</v>
      </c>
      <c r="M21" s="26">
        <f t="shared" si="0"/>
        <v>0</v>
      </c>
      <c r="N21" s="42">
        <v>360</v>
      </c>
      <c r="O21" s="20">
        <f>M21+N21</f>
        <v>360</v>
      </c>
      <c r="P21" s="33"/>
      <c r="Q21" s="25"/>
      <c r="R21" s="40">
        <v>75.7</v>
      </c>
      <c r="S21" s="26">
        <f t="shared" si="4"/>
        <v>75.7</v>
      </c>
      <c r="T21" s="42">
        <f>SUM(T22:T23)</f>
        <v>299.89999999999998</v>
      </c>
      <c r="U21" s="20">
        <f>S21+T21</f>
        <v>375.59999999999997</v>
      </c>
      <c r="V21" s="33"/>
      <c r="W21" s="25"/>
      <c r="X21" s="40">
        <v>250</v>
      </c>
      <c r="Y21" s="26">
        <f t="shared" si="6"/>
        <v>250</v>
      </c>
      <c r="Z21" s="42">
        <v>360</v>
      </c>
      <c r="AA21" s="20">
        <f>Y21+Z21</f>
        <v>610</v>
      </c>
      <c r="AB21" s="21">
        <f t="shared" si="8"/>
        <v>1.6944444444444444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>
        <v>0</v>
      </c>
      <c r="G22" s="26">
        <f t="shared" si="1"/>
        <v>0</v>
      </c>
      <c r="H22" s="42">
        <v>409.4</v>
      </c>
      <c r="I22" s="20">
        <f t="shared" si="2"/>
        <v>409.4</v>
      </c>
      <c r="J22" s="33"/>
      <c r="K22" s="25"/>
      <c r="L22" s="40">
        <v>0</v>
      </c>
      <c r="M22" s="26">
        <f t="shared" si="0"/>
        <v>0</v>
      </c>
      <c r="N22" s="42">
        <v>360</v>
      </c>
      <c r="O22" s="20">
        <f t="shared" ref="O22:O23" si="9">M22+N22</f>
        <v>360</v>
      </c>
      <c r="P22" s="33"/>
      <c r="Q22" s="25"/>
      <c r="R22" s="40">
        <v>0</v>
      </c>
      <c r="S22" s="26">
        <f t="shared" si="4"/>
        <v>0</v>
      </c>
      <c r="T22" s="42">
        <v>299.89999999999998</v>
      </c>
      <c r="U22" s="20">
        <f t="shared" ref="U22:U23" si="10">S22+T22</f>
        <v>299.89999999999998</v>
      </c>
      <c r="V22" s="33"/>
      <c r="W22" s="25"/>
      <c r="X22" s="40">
        <v>0</v>
      </c>
      <c r="Y22" s="26">
        <f t="shared" si="6"/>
        <v>0</v>
      </c>
      <c r="Z22" s="42">
        <v>360</v>
      </c>
      <c r="AA22" s="20">
        <f t="shared" ref="AA22:AA23" si="11">Y22+Z22</f>
        <v>360</v>
      </c>
      <c r="AB22" s="21">
        <f t="shared" si="8"/>
        <v>1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>
        <v>0</v>
      </c>
      <c r="G23" s="48">
        <f t="shared" si="1"/>
        <v>0</v>
      </c>
      <c r="H23" s="49">
        <v>0</v>
      </c>
      <c r="I23" s="50">
        <f t="shared" si="2"/>
        <v>0</v>
      </c>
      <c r="J23" s="45"/>
      <c r="K23" s="46"/>
      <c r="L23" s="47">
        <v>0</v>
      </c>
      <c r="M23" s="48">
        <f t="shared" si="0"/>
        <v>0</v>
      </c>
      <c r="N23" s="49">
        <v>0</v>
      </c>
      <c r="O23" s="50">
        <f t="shared" si="9"/>
        <v>0</v>
      </c>
      <c r="P23" s="45"/>
      <c r="Q23" s="46"/>
      <c r="R23" s="47">
        <v>0</v>
      </c>
      <c r="S23" s="48">
        <f t="shared" si="4"/>
        <v>0</v>
      </c>
      <c r="T23" s="49">
        <v>0</v>
      </c>
      <c r="U23" s="50">
        <f t="shared" si="10"/>
        <v>0</v>
      </c>
      <c r="V23" s="45"/>
      <c r="W23" s="46"/>
      <c r="X23" s="47">
        <v>0</v>
      </c>
      <c r="Y23" s="48">
        <f t="shared" si="6"/>
        <v>0</v>
      </c>
      <c r="Z23" s="49">
        <v>0</v>
      </c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4292.4000000000005</v>
      </c>
      <c r="E24" s="55">
        <f>SUM(E15:E21)</f>
        <v>45664.6</v>
      </c>
      <c r="F24" s="55">
        <f>SUM(F15:F21)</f>
        <v>1083.5999999999999</v>
      </c>
      <c r="G24" s="56">
        <f>SUM(D24:F24)</f>
        <v>51040.6</v>
      </c>
      <c r="H24" s="57">
        <f>SUM(H15,H18:H21)</f>
        <v>564.20000000000005</v>
      </c>
      <c r="I24" s="57">
        <f>SUM(I15:I21)</f>
        <v>51604.799999999996</v>
      </c>
      <c r="J24" s="54">
        <f>SUM(J15:J21)</f>
        <v>5617.5</v>
      </c>
      <c r="K24" s="55">
        <f>SUM(K15:K21)</f>
        <v>47199.6</v>
      </c>
      <c r="L24" s="55">
        <f>SUM(L15:L21)</f>
        <v>654.79999999999995</v>
      </c>
      <c r="M24" s="56">
        <f>SUM(J24:L24)</f>
        <v>53471.9</v>
      </c>
      <c r="N24" s="57">
        <f>SUM(N15:N21)</f>
        <v>560</v>
      </c>
      <c r="O24" s="57">
        <f>SUM(O15:O21)</f>
        <v>54031.9</v>
      </c>
      <c r="P24" s="54">
        <f>SUM(P15:P21)</f>
        <v>2324.5</v>
      </c>
      <c r="Q24" s="55">
        <f>SUM(Q15:Q21)</f>
        <v>24014</v>
      </c>
      <c r="R24" s="55">
        <f>SUM(R15:R21)</f>
        <v>701.90000000000009</v>
      </c>
      <c r="S24" s="56">
        <f>SUM(P24:R24)</f>
        <v>27040.400000000001</v>
      </c>
      <c r="T24" s="57">
        <f>SUM(T15:T21)</f>
        <v>409.5</v>
      </c>
      <c r="U24" s="57">
        <f>SUM(U15:U21)</f>
        <v>27449.899999999998</v>
      </c>
      <c r="V24" s="54">
        <f>SUM(V15:V21)</f>
        <v>5035.1000000000004</v>
      </c>
      <c r="W24" s="55">
        <f>SUM(W15:W21)</f>
        <v>46628.6</v>
      </c>
      <c r="X24" s="55">
        <f>SUM(X15:X21)</f>
        <v>1050.9000000000001</v>
      </c>
      <c r="Y24" s="56">
        <f>SUM(V24:X24)</f>
        <v>52714.6</v>
      </c>
      <c r="Z24" s="57">
        <f>SUM(Z15:Z21)</f>
        <v>580</v>
      </c>
      <c r="AA24" s="57">
        <f>SUM(AA15:AA21)</f>
        <v>53294.6</v>
      </c>
      <c r="AB24" s="58">
        <f t="shared" si="8"/>
        <v>0.98635435733335297</v>
      </c>
      <c r="AC24" s="3"/>
      <c r="AD24" s="3"/>
    </row>
    <row r="25" spans="1:30" ht="15.75" customHeight="1" thickBot="1" x14ac:dyDescent="0.3">
      <c r="A25" s="1"/>
      <c r="B25" s="59"/>
      <c r="C25" s="60"/>
      <c r="D25" s="885" t="s">
        <v>43</v>
      </c>
      <c r="E25" s="886"/>
      <c r="F25" s="886"/>
      <c r="G25" s="887"/>
      <c r="H25" s="887"/>
      <c r="I25" s="888"/>
      <c r="J25" s="885" t="s">
        <v>43</v>
      </c>
      <c r="K25" s="886"/>
      <c r="L25" s="886"/>
      <c r="M25" s="887"/>
      <c r="N25" s="887"/>
      <c r="O25" s="888"/>
      <c r="P25" s="885" t="s">
        <v>43</v>
      </c>
      <c r="Q25" s="886"/>
      <c r="R25" s="886"/>
      <c r="S25" s="887"/>
      <c r="T25" s="887"/>
      <c r="U25" s="888"/>
      <c r="V25" s="885" t="s">
        <v>43</v>
      </c>
      <c r="W25" s="886"/>
      <c r="X25" s="886"/>
      <c r="Y25" s="887"/>
      <c r="Z25" s="887"/>
      <c r="AA25" s="888"/>
      <c r="AB25" s="893" t="s">
        <v>12</v>
      </c>
      <c r="AC25" s="3"/>
      <c r="AD25" s="3"/>
    </row>
    <row r="26" spans="1:30" ht="15.75" thickBot="1" x14ac:dyDescent="0.3">
      <c r="A26" s="1"/>
      <c r="B26" s="932" t="s">
        <v>6</v>
      </c>
      <c r="C26" s="917" t="s">
        <v>7</v>
      </c>
      <c r="D26" s="896" t="s">
        <v>44</v>
      </c>
      <c r="E26" s="897"/>
      <c r="F26" s="897"/>
      <c r="G26" s="913" t="s">
        <v>45</v>
      </c>
      <c r="H26" s="915" t="s">
        <v>46</v>
      </c>
      <c r="I26" s="898" t="s">
        <v>43</v>
      </c>
      <c r="J26" s="896" t="s">
        <v>44</v>
      </c>
      <c r="K26" s="897"/>
      <c r="L26" s="897"/>
      <c r="M26" s="913" t="s">
        <v>45</v>
      </c>
      <c r="N26" s="915" t="s">
        <v>46</v>
      </c>
      <c r="O26" s="898" t="s">
        <v>43</v>
      </c>
      <c r="P26" s="896" t="s">
        <v>44</v>
      </c>
      <c r="Q26" s="897"/>
      <c r="R26" s="897"/>
      <c r="S26" s="913" t="s">
        <v>45</v>
      </c>
      <c r="T26" s="915" t="s">
        <v>46</v>
      </c>
      <c r="U26" s="898" t="s">
        <v>43</v>
      </c>
      <c r="V26" s="896" t="s">
        <v>44</v>
      </c>
      <c r="W26" s="897"/>
      <c r="X26" s="897"/>
      <c r="Y26" s="913" t="s">
        <v>45</v>
      </c>
      <c r="Z26" s="915" t="s">
        <v>46</v>
      </c>
      <c r="AA26" s="898" t="s">
        <v>43</v>
      </c>
      <c r="AB26" s="894"/>
      <c r="AC26" s="3"/>
      <c r="AD26" s="3"/>
    </row>
    <row r="27" spans="1:30" ht="15.75" thickBot="1" x14ac:dyDescent="0.3">
      <c r="A27" s="1"/>
      <c r="B27" s="933"/>
      <c r="C27" s="918"/>
      <c r="D27" s="61" t="s">
        <v>47</v>
      </c>
      <c r="E27" s="62" t="s">
        <v>48</v>
      </c>
      <c r="F27" s="63" t="s">
        <v>49</v>
      </c>
      <c r="G27" s="914"/>
      <c r="H27" s="916"/>
      <c r="I27" s="899"/>
      <c r="J27" s="61" t="s">
        <v>47</v>
      </c>
      <c r="K27" s="62" t="s">
        <v>48</v>
      </c>
      <c r="L27" s="63" t="s">
        <v>49</v>
      </c>
      <c r="M27" s="914"/>
      <c r="N27" s="916"/>
      <c r="O27" s="899"/>
      <c r="P27" s="61" t="s">
        <v>47</v>
      </c>
      <c r="Q27" s="62" t="s">
        <v>48</v>
      </c>
      <c r="R27" s="63" t="s">
        <v>49</v>
      </c>
      <c r="S27" s="914"/>
      <c r="T27" s="916"/>
      <c r="U27" s="899"/>
      <c r="V27" s="61" t="s">
        <v>47</v>
      </c>
      <c r="W27" s="62" t="s">
        <v>48</v>
      </c>
      <c r="X27" s="63" t="s">
        <v>49</v>
      </c>
      <c r="Y27" s="914"/>
      <c r="Z27" s="916"/>
      <c r="AA27" s="899"/>
      <c r="AB27" s="895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271.10000000000002</v>
      </c>
      <c r="E28" s="65"/>
      <c r="F28" s="65">
        <v>0</v>
      </c>
      <c r="G28" s="66">
        <f>SUM(D28:F28)</f>
        <v>271.10000000000002</v>
      </c>
      <c r="H28" s="66">
        <v>30</v>
      </c>
      <c r="I28" s="67">
        <f>G28+H28</f>
        <v>301.10000000000002</v>
      </c>
      <c r="J28" s="801">
        <v>350</v>
      </c>
      <c r="K28" s="802">
        <v>0</v>
      </c>
      <c r="L28" s="802">
        <v>0</v>
      </c>
      <c r="M28" s="66">
        <f>SUM(J28:L28)</f>
        <v>350</v>
      </c>
      <c r="N28" s="66">
        <v>60</v>
      </c>
      <c r="O28" s="67">
        <f>M28+N28</f>
        <v>410</v>
      </c>
      <c r="P28" s="68">
        <v>90.5</v>
      </c>
      <c r="Q28" s="65">
        <v>0</v>
      </c>
      <c r="R28" s="65">
        <v>0</v>
      </c>
      <c r="S28" s="66">
        <f>SUM(P28:R28)</f>
        <v>90.5</v>
      </c>
      <c r="T28" s="66">
        <v>0</v>
      </c>
      <c r="U28" s="67">
        <f>S28+T28</f>
        <v>90.5</v>
      </c>
      <c r="V28" s="68">
        <v>450</v>
      </c>
      <c r="W28" s="65">
        <v>0</v>
      </c>
      <c r="X28" s="65">
        <v>250</v>
      </c>
      <c r="Y28" s="66">
        <f>SUM(V28:X28)</f>
        <v>700</v>
      </c>
      <c r="Z28" s="66">
        <v>60</v>
      </c>
      <c r="AA28" s="67">
        <f>Y28+Z28</f>
        <v>760</v>
      </c>
      <c r="AB28" s="21">
        <f t="shared" ref="AB28:AB41" si="12">(AA28/O28)</f>
        <v>1.8536585365853659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510.3</v>
      </c>
      <c r="E29" s="70">
        <v>186.6</v>
      </c>
      <c r="F29" s="70">
        <v>600.6</v>
      </c>
      <c r="G29" s="71">
        <f t="shared" ref="G29:G38" si="13">SUM(D29:F29)</f>
        <v>1297.5</v>
      </c>
      <c r="H29" s="72">
        <v>91.7</v>
      </c>
      <c r="I29" s="20">
        <f t="shared" ref="I29:I38" si="14">G29+H29</f>
        <v>1389.2</v>
      </c>
      <c r="J29" s="73">
        <v>478</v>
      </c>
      <c r="K29" s="70">
        <v>200</v>
      </c>
      <c r="L29" s="70">
        <v>400</v>
      </c>
      <c r="M29" s="71">
        <f t="shared" ref="M29:M38" si="15">SUM(J29:L29)</f>
        <v>1078</v>
      </c>
      <c r="N29" s="72">
        <v>300</v>
      </c>
      <c r="O29" s="20">
        <f t="shared" ref="O29:O38" si="16">M29+N29</f>
        <v>1378</v>
      </c>
      <c r="P29" s="73">
        <v>252.9</v>
      </c>
      <c r="Q29" s="70">
        <v>104.3</v>
      </c>
      <c r="R29" s="70">
        <v>517.6</v>
      </c>
      <c r="S29" s="71">
        <f t="shared" ref="S29:S38" si="17">SUM(P29:R29)</f>
        <v>874.8</v>
      </c>
      <c r="T29" s="72">
        <v>47</v>
      </c>
      <c r="U29" s="20">
        <f t="shared" ref="U29:U38" si="18">S29+T29</f>
        <v>921.8</v>
      </c>
      <c r="V29" s="73">
        <v>545</v>
      </c>
      <c r="W29" s="70">
        <v>200</v>
      </c>
      <c r="X29" s="70">
        <v>550</v>
      </c>
      <c r="Y29" s="71">
        <f t="shared" ref="Y29:Y38" si="19">SUM(V29:X29)</f>
        <v>1295</v>
      </c>
      <c r="Z29" s="72">
        <v>303</v>
      </c>
      <c r="AA29" s="20">
        <f t="shared" ref="AA29:AA38" si="20">Y29+Z29</f>
        <v>1598</v>
      </c>
      <c r="AB29" s="21">
        <f t="shared" si="12"/>
        <v>1.1596516690856313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1292.3</v>
      </c>
      <c r="E30" s="74"/>
      <c r="F30" s="74">
        <v>0</v>
      </c>
      <c r="G30" s="71">
        <f t="shared" si="13"/>
        <v>1292.3</v>
      </c>
      <c r="H30" s="71">
        <v>247.3</v>
      </c>
      <c r="I30" s="20">
        <f t="shared" si="14"/>
        <v>1539.6</v>
      </c>
      <c r="J30" s="73">
        <v>2912</v>
      </c>
      <c r="K30" s="70">
        <v>0</v>
      </c>
      <c r="L30" s="70">
        <v>0</v>
      </c>
      <c r="M30" s="71">
        <f t="shared" si="15"/>
        <v>2912</v>
      </c>
      <c r="N30" s="71">
        <v>150</v>
      </c>
      <c r="O30" s="20">
        <f t="shared" si="16"/>
        <v>3062</v>
      </c>
      <c r="P30" s="75">
        <v>1143.7</v>
      </c>
      <c r="Q30" s="74">
        <v>0</v>
      </c>
      <c r="R30" s="74">
        <v>0</v>
      </c>
      <c r="S30" s="71">
        <f t="shared" si="17"/>
        <v>1143.7</v>
      </c>
      <c r="T30" s="71">
        <v>0</v>
      </c>
      <c r="U30" s="20">
        <f t="shared" si="18"/>
        <v>1143.7</v>
      </c>
      <c r="V30" s="75">
        <v>2012</v>
      </c>
      <c r="W30" s="74">
        <v>0</v>
      </c>
      <c r="X30" s="74">
        <v>0</v>
      </c>
      <c r="Y30" s="71">
        <f t="shared" si="19"/>
        <v>2012</v>
      </c>
      <c r="Z30" s="71">
        <v>150</v>
      </c>
      <c r="AA30" s="20">
        <f t="shared" si="20"/>
        <v>2162</v>
      </c>
      <c r="AB30" s="21">
        <f t="shared" si="12"/>
        <v>0.70607446113651207</v>
      </c>
      <c r="AC30" s="3"/>
      <c r="AD30" s="3"/>
    </row>
    <row r="31" spans="1:30" x14ac:dyDescent="0.25">
      <c r="A31" s="1"/>
      <c r="B31" s="22" t="s">
        <v>56</v>
      </c>
      <c r="C31" s="41" t="s">
        <v>57</v>
      </c>
      <c r="D31" s="74">
        <v>780.4</v>
      </c>
      <c r="E31" s="74"/>
      <c r="F31" s="74">
        <v>177.5</v>
      </c>
      <c r="G31" s="71">
        <f t="shared" si="13"/>
        <v>957.9</v>
      </c>
      <c r="H31" s="71">
        <v>52.4</v>
      </c>
      <c r="I31" s="20">
        <f t="shared" si="14"/>
        <v>1010.3</v>
      </c>
      <c r="J31" s="73">
        <v>753.2</v>
      </c>
      <c r="K31" s="70">
        <v>40</v>
      </c>
      <c r="L31" s="70">
        <v>0</v>
      </c>
      <c r="M31" s="71">
        <f t="shared" si="15"/>
        <v>793.2</v>
      </c>
      <c r="N31" s="71">
        <v>0</v>
      </c>
      <c r="O31" s="20">
        <f t="shared" si="16"/>
        <v>793.2</v>
      </c>
      <c r="P31" s="75">
        <v>321.2</v>
      </c>
      <c r="Q31" s="74">
        <v>11.4</v>
      </c>
      <c r="R31" s="74">
        <v>0.6</v>
      </c>
      <c r="S31" s="71">
        <f t="shared" si="17"/>
        <v>333.2</v>
      </c>
      <c r="T31" s="71">
        <v>0</v>
      </c>
      <c r="U31" s="20">
        <f t="shared" si="18"/>
        <v>333.2</v>
      </c>
      <c r="V31" s="75">
        <v>857</v>
      </c>
      <c r="W31" s="74">
        <v>45</v>
      </c>
      <c r="X31" s="74">
        <v>0</v>
      </c>
      <c r="Y31" s="71">
        <f t="shared" si="19"/>
        <v>902</v>
      </c>
      <c r="Z31" s="71">
        <v>0</v>
      </c>
      <c r="AA31" s="20">
        <f t="shared" si="20"/>
        <v>902</v>
      </c>
      <c r="AB31" s="21">
        <f t="shared" si="12"/>
        <v>1.1371659102370146</v>
      </c>
      <c r="AC31" s="3"/>
      <c r="AD31" s="3"/>
    </row>
    <row r="32" spans="1:30" x14ac:dyDescent="0.25">
      <c r="A32" s="1"/>
      <c r="B32" s="22" t="s">
        <v>58</v>
      </c>
      <c r="C32" s="41" t="s">
        <v>59</v>
      </c>
      <c r="D32" s="76">
        <v>86.5</v>
      </c>
      <c r="E32" s="74">
        <v>33356.5</v>
      </c>
      <c r="F32" s="74">
        <v>37.4</v>
      </c>
      <c r="G32" s="71">
        <f t="shared" si="13"/>
        <v>33480.400000000001</v>
      </c>
      <c r="H32" s="71">
        <v>37.200000000000003</v>
      </c>
      <c r="I32" s="20">
        <f t="shared" si="14"/>
        <v>33517.599999999999</v>
      </c>
      <c r="J32" s="803">
        <v>62.1</v>
      </c>
      <c r="K32" s="70">
        <f>SUM(K33:K34)</f>
        <v>33764.600000000006</v>
      </c>
      <c r="L32" s="70">
        <v>0</v>
      </c>
      <c r="M32" s="71">
        <f t="shared" si="15"/>
        <v>33826.700000000004</v>
      </c>
      <c r="N32" s="71">
        <v>50</v>
      </c>
      <c r="O32" s="20">
        <f t="shared" si="16"/>
        <v>33876.700000000004</v>
      </c>
      <c r="P32" s="77">
        <v>0</v>
      </c>
      <c r="Q32" s="74">
        <v>17419.5</v>
      </c>
      <c r="R32" s="74">
        <v>0</v>
      </c>
      <c r="S32" s="71">
        <f t="shared" si="17"/>
        <v>17419.5</v>
      </c>
      <c r="T32" s="71">
        <v>0</v>
      </c>
      <c r="U32" s="20">
        <f t="shared" si="18"/>
        <v>17419.5</v>
      </c>
      <c r="V32" s="77">
        <v>70</v>
      </c>
      <c r="W32" s="74">
        <f>SUM(W33:W34)</f>
        <v>33620</v>
      </c>
      <c r="X32" s="74">
        <v>0</v>
      </c>
      <c r="Y32" s="71">
        <f t="shared" si="19"/>
        <v>33690</v>
      </c>
      <c r="Z32" s="71">
        <v>50</v>
      </c>
      <c r="AA32" s="20">
        <f t="shared" si="20"/>
        <v>33740</v>
      </c>
      <c r="AB32" s="21">
        <f t="shared" si="12"/>
        <v>0.99596477815135465</v>
      </c>
      <c r="AC32" s="3"/>
      <c r="AD32" s="3"/>
    </row>
    <row r="33" spans="1:30" x14ac:dyDescent="0.25">
      <c r="A33" s="1"/>
      <c r="B33" s="22" t="s">
        <v>60</v>
      </c>
      <c r="C33" s="35" t="s">
        <v>61</v>
      </c>
      <c r="D33" s="76">
        <v>86.5</v>
      </c>
      <c r="E33" s="74">
        <v>33356</v>
      </c>
      <c r="F33" s="74">
        <v>37.4</v>
      </c>
      <c r="G33" s="71">
        <f t="shared" si="13"/>
        <v>33479.9</v>
      </c>
      <c r="H33" s="71">
        <v>37.200000000000003</v>
      </c>
      <c r="I33" s="20">
        <v>33490.1</v>
      </c>
      <c r="J33" s="803">
        <v>62.1</v>
      </c>
      <c r="K33" s="70">
        <v>33612.800000000003</v>
      </c>
      <c r="L33" s="70">
        <v>0</v>
      </c>
      <c r="M33" s="71">
        <f t="shared" si="15"/>
        <v>33674.9</v>
      </c>
      <c r="N33" s="71">
        <v>50</v>
      </c>
      <c r="O33" s="20">
        <f t="shared" si="16"/>
        <v>33724.9</v>
      </c>
      <c r="P33" s="77">
        <v>0</v>
      </c>
      <c r="Q33" s="74">
        <v>17312.5</v>
      </c>
      <c r="R33" s="74">
        <v>0</v>
      </c>
      <c r="S33" s="71">
        <f t="shared" si="17"/>
        <v>17312.5</v>
      </c>
      <c r="T33" s="71">
        <v>0</v>
      </c>
      <c r="U33" s="20">
        <f t="shared" si="18"/>
        <v>17312.5</v>
      </c>
      <c r="V33" s="77">
        <v>70</v>
      </c>
      <c r="W33" s="74">
        <v>33620</v>
      </c>
      <c r="X33" s="74">
        <v>0</v>
      </c>
      <c r="Y33" s="71">
        <f t="shared" si="19"/>
        <v>33690</v>
      </c>
      <c r="Z33" s="71">
        <v>50</v>
      </c>
      <c r="AA33" s="20">
        <f t="shared" si="20"/>
        <v>33740</v>
      </c>
      <c r="AB33" s="21">
        <f t="shared" si="12"/>
        <v>1.0004477403935963</v>
      </c>
      <c r="AC33" s="3"/>
      <c r="AD33" s="3"/>
    </row>
    <row r="34" spans="1:30" x14ac:dyDescent="0.25">
      <c r="A34" s="1"/>
      <c r="B34" s="22" t="s">
        <v>62</v>
      </c>
      <c r="C34" s="78" t="s">
        <v>63</v>
      </c>
      <c r="D34" s="76">
        <v>0</v>
      </c>
      <c r="E34" s="74"/>
      <c r="F34" s="74">
        <v>0</v>
      </c>
      <c r="G34" s="71">
        <f t="shared" si="13"/>
        <v>0</v>
      </c>
      <c r="H34" s="71">
        <v>0</v>
      </c>
      <c r="I34" s="20">
        <v>27.5</v>
      </c>
      <c r="J34" s="803">
        <v>0</v>
      </c>
      <c r="K34" s="70">
        <v>151.80000000000001</v>
      </c>
      <c r="L34" s="70">
        <v>0</v>
      </c>
      <c r="M34" s="71">
        <f>SUM(J34:L34)</f>
        <v>151.80000000000001</v>
      </c>
      <c r="N34" s="71">
        <v>0</v>
      </c>
      <c r="O34" s="20">
        <f t="shared" si="16"/>
        <v>151.80000000000001</v>
      </c>
      <c r="P34" s="77">
        <v>0</v>
      </c>
      <c r="Q34" s="74">
        <v>107</v>
      </c>
      <c r="R34" s="74">
        <v>0</v>
      </c>
      <c r="S34" s="71">
        <f t="shared" si="17"/>
        <v>107</v>
      </c>
      <c r="T34" s="71">
        <v>0</v>
      </c>
      <c r="U34" s="20">
        <f t="shared" si="18"/>
        <v>107</v>
      </c>
      <c r="V34" s="77">
        <v>0</v>
      </c>
      <c r="W34" s="74">
        <v>0</v>
      </c>
      <c r="X34" s="74">
        <v>0</v>
      </c>
      <c r="Y34" s="71">
        <f t="shared" si="19"/>
        <v>0</v>
      </c>
      <c r="Z34" s="71">
        <v>0</v>
      </c>
      <c r="AA34" s="20">
        <f t="shared" si="20"/>
        <v>0</v>
      </c>
      <c r="AB34" s="21">
        <f t="shared" si="12"/>
        <v>0</v>
      </c>
      <c r="AC34" s="3"/>
      <c r="AD34" s="3"/>
    </row>
    <row r="35" spans="1:30" x14ac:dyDescent="0.25">
      <c r="A35" s="1"/>
      <c r="B35" s="22" t="s">
        <v>64</v>
      </c>
      <c r="C35" s="41" t="s">
        <v>65</v>
      </c>
      <c r="D35" s="76">
        <v>31</v>
      </c>
      <c r="E35" s="74">
        <v>11055.2</v>
      </c>
      <c r="F35" s="74">
        <v>10.9</v>
      </c>
      <c r="G35" s="71">
        <f t="shared" si="13"/>
        <v>11097.1</v>
      </c>
      <c r="H35" s="71">
        <v>12.6</v>
      </c>
      <c r="I35" s="20">
        <f t="shared" si="14"/>
        <v>11109.7</v>
      </c>
      <c r="J35" s="803">
        <v>21</v>
      </c>
      <c r="K35" s="70">
        <v>11361.1</v>
      </c>
      <c r="L35" s="70">
        <v>0</v>
      </c>
      <c r="M35" s="71">
        <f t="shared" si="15"/>
        <v>11382.1</v>
      </c>
      <c r="N35" s="71">
        <v>0</v>
      </c>
      <c r="O35" s="20">
        <f t="shared" si="16"/>
        <v>11382.1</v>
      </c>
      <c r="P35" s="77">
        <v>0</v>
      </c>
      <c r="Q35" s="74">
        <v>5624.4</v>
      </c>
      <c r="R35" s="74">
        <v>0</v>
      </c>
      <c r="S35" s="71">
        <f t="shared" si="17"/>
        <v>5624.4</v>
      </c>
      <c r="T35" s="71">
        <v>0</v>
      </c>
      <c r="U35" s="20">
        <f t="shared" si="18"/>
        <v>5624.4</v>
      </c>
      <c r="V35" s="77">
        <v>23.6</v>
      </c>
      <c r="W35" s="74">
        <v>11363.6</v>
      </c>
      <c r="X35" s="74">
        <v>0</v>
      </c>
      <c r="Y35" s="71">
        <f t="shared" si="19"/>
        <v>11387.2</v>
      </c>
      <c r="Z35" s="71">
        <v>16</v>
      </c>
      <c r="AA35" s="20">
        <f t="shared" si="20"/>
        <v>11403.2</v>
      </c>
      <c r="AB35" s="21">
        <f t="shared" si="12"/>
        <v>1.001853787965314</v>
      </c>
      <c r="AC35" s="3"/>
      <c r="AD35" s="3"/>
    </row>
    <row r="36" spans="1:30" x14ac:dyDescent="0.25">
      <c r="A36" s="1"/>
      <c r="B36" s="22" t="s">
        <v>66</v>
      </c>
      <c r="C36" s="41" t="s">
        <v>67</v>
      </c>
      <c r="D36" s="74" t="s">
        <v>132</v>
      </c>
      <c r="E36" s="74"/>
      <c r="F36" s="74">
        <v>0</v>
      </c>
      <c r="G36" s="71">
        <f t="shared" si="13"/>
        <v>0</v>
      </c>
      <c r="H36" s="71">
        <v>0</v>
      </c>
      <c r="I36" s="20">
        <f t="shared" si="14"/>
        <v>0</v>
      </c>
      <c r="J36" s="73">
        <v>0</v>
      </c>
      <c r="K36" s="70">
        <v>0</v>
      </c>
      <c r="L36" s="70">
        <v>0</v>
      </c>
      <c r="M36" s="71">
        <f t="shared" si="15"/>
        <v>0</v>
      </c>
      <c r="N36" s="71">
        <v>0</v>
      </c>
      <c r="O36" s="20">
        <f t="shared" si="16"/>
        <v>0</v>
      </c>
      <c r="P36" s="75">
        <v>0</v>
      </c>
      <c r="Q36" s="74">
        <v>0</v>
      </c>
      <c r="R36" s="74">
        <v>0</v>
      </c>
      <c r="S36" s="71">
        <f t="shared" si="17"/>
        <v>0</v>
      </c>
      <c r="T36" s="71">
        <v>0</v>
      </c>
      <c r="U36" s="20">
        <f t="shared" si="18"/>
        <v>0</v>
      </c>
      <c r="V36" s="75">
        <v>0</v>
      </c>
      <c r="W36" s="74">
        <v>0</v>
      </c>
      <c r="X36" s="74">
        <v>0</v>
      </c>
      <c r="Y36" s="71">
        <f t="shared" si="19"/>
        <v>0</v>
      </c>
      <c r="Z36" s="71">
        <v>0</v>
      </c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68</v>
      </c>
      <c r="C37" s="41" t="s">
        <v>69</v>
      </c>
      <c r="D37" s="74">
        <v>869.4</v>
      </c>
      <c r="E37" s="74"/>
      <c r="F37" s="74">
        <v>0</v>
      </c>
      <c r="G37" s="71">
        <f t="shared" si="13"/>
        <v>869.4</v>
      </c>
      <c r="H37" s="71">
        <v>0</v>
      </c>
      <c r="I37" s="20">
        <f t="shared" si="14"/>
        <v>869.4</v>
      </c>
      <c r="J37" s="73">
        <v>886.9</v>
      </c>
      <c r="K37" s="70">
        <v>0</v>
      </c>
      <c r="L37" s="70">
        <v>0</v>
      </c>
      <c r="M37" s="71">
        <f t="shared" si="15"/>
        <v>886.9</v>
      </c>
      <c r="N37" s="71">
        <v>0</v>
      </c>
      <c r="O37" s="20">
        <f t="shared" si="16"/>
        <v>886.9</v>
      </c>
      <c r="P37" s="75">
        <v>448.8</v>
      </c>
      <c r="Q37" s="74">
        <v>0</v>
      </c>
      <c r="R37" s="74">
        <v>0</v>
      </c>
      <c r="S37" s="71">
        <f t="shared" si="17"/>
        <v>448.8</v>
      </c>
      <c r="T37" s="71">
        <v>0</v>
      </c>
      <c r="U37" s="20">
        <f t="shared" si="18"/>
        <v>448.8</v>
      </c>
      <c r="V37" s="75">
        <v>854.8</v>
      </c>
      <c r="W37" s="74">
        <v>0</v>
      </c>
      <c r="X37" s="74">
        <v>0</v>
      </c>
      <c r="Y37" s="71">
        <f t="shared" si="19"/>
        <v>854.8</v>
      </c>
      <c r="Z37" s="71">
        <v>0</v>
      </c>
      <c r="AA37" s="20">
        <f t="shared" si="20"/>
        <v>854.8</v>
      </c>
      <c r="AB37" s="21">
        <f t="shared" si="12"/>
        <v>0.96380651708197085</v>
      </c>
      <c r="AC37" s="3"/>
      <c r="AD37" s="3"/>
    </row>
    <row r="38" spans="1:30" ht="15.75" thickBot="1" x14ac:dyDescent="0.3">
      <c r="A38" s="1"/>
      <c r="B38" s="79" t="s">
        <v>70</v>
      </c>
      <c r="C38" s="80" t="s">
        <v>71</v>
      </c>
      <c r="D38" s="81">
        <v>451.4</v>
      </c>
      <c r="E38" s="81">
        <v>1066.3</v>
      </c>
      <c r="F38" s="81">
        <v>257.2</v>
      </c>
      <c r="G38" s="71">
        <f t="shared" si="13"/>
        <v>1774.8999999999999</v>
      </c>
      <c r="H38" s="82">
        <v>25.3</v>
      </c>
      <c r="I38" s="50">
        <f t="shared" si="14"/>
        <v>1800.1999999999998</v>
      </c>
      <c r="J38" s="804">
        <v>154.30000000000001</v>
      </c>
      <c r="K38" s="805">
        <v>1833.9</v>
      </c>
      <c r="L38" s="805">
        <v>254.8</v>
      </c>
      <c r="M38" s="82">
        <f t="shared" si="15"/>
        <v>2243</v>
      </c>
      <c r="N38" s="82">
        <v>0</v>
      </c>
      <c r="O38" s="50">
        <f t="shared" si="16"/>
        <v>2243</v>
      </c>
      <c r="P38" s="83">
        <v>74.8</v>
      </c>
      <c r="Q38" s="81">
        <v>434.7</v>
      </c>
      <c r="R38" s="81">
        <v>145.19999999999999</v>
      </c>
      <c r="S38" s="82">
        <f t="shared" si="17"/>
        <v>654.70000000000005</v>
      </c>
      <c r="T38" s="82">
        <v>0</v>
      </c>
      <c r="U38" s="50">
        <f t="shared" si="18"/>
        <v>654.70000000000005</v>
      </c>
      <c r="V38" s="83">
        <v>222.7</v>
      </c>
      <c r="W38" s="81">
        <v>1400</v>
      </c>
      <c r="X38" s="81">
        <v>250.9</v>
      </c>
      <c r="Y38" s="82">
        <f t="shared" si="19"/>
        <v>1873.6000000000001</v>
      </c>
      <c r="Z38" s="82">
        <v>1</v>
      </c>
      <c r="AA38" s="50">
        <f t="shared" si="20"/>
        <v>1874.6000000000001</v>
      </c>
      <c r="AB38" s="51">
        <f t="shared" si="12"/>
        <v>0.83575568435131531</v>
      </c>
      <c r="AC38" s="3"/>
      <c r="AD38" s="3"/>
    </row>
    <row r="39" spans="1:30" ht="15.75" thickBot="1" x14ac:dyDescent="0.3">
      <c r="A39" s="1"/>
      <c r="B39" s="52" t="s">
        <v>72</v>
      </c>
      <c r="C39" s="84" t="s">
        <v>73</v>
      </c>
      <c r="D39" s="85">
        <f>SUM(D35:D38)+SUM(D28:D32)</f>
        <v>4292.3999999999996</v>
      </c>
      <c r="E39" s="85">
        <f>SUM(E35:E38)+SUM(E28:E32)</f>
        <v>45664.6</v>
      </c>
      <c r="F39" s="85">
        <f>SUM(F28:F32,F34:F38)</f>
        <v>1083.5999999999999</v>
      </c>
      <c r="G39" s="86">
        <f>SUM(D39:F39)</f>
        <v>51040.6</v>
      </c>
      <c r="H39" s="87">
        <f>SUM(H28:H32)+SUM(H35:H38)</f>
        <v>496.49999999999994</v>
      </c>
      <c r="I39" s="88">
        <f>SUM(I35:I38)+SUM(I28:I32)</f>
        <v>51537.099999999991</v>
      </c>
      <c r="J39" s="85">
        <f>SUM(J35:J38)+SUM(J28:J32)</f>
        <v>5617.5</v>
      </c>
      <c r="K39" s="85">
        <f>SUM(K35:K38)+SUM(K28:K32)</f>
        <v>47199.600000000006</v>
      </c>
      <c r="L39" s="85">
        <f>SUM(L35:L38)+SUM(L28:L32)</f>
        <v>654.79999999999995</v>
      </c>
      <c r="M39" s="86">
        <f>SUM(J39:L39)</f>
        <v>53471.900000000009</v>
      </c>
      <c r="N39" s="87">
        <f>SUM(N28:N32)+SUM(N35:N38)</f>
        <v>560</v>
      </c>
      <c r="O39" s="88">
        <f>SUM(O35:O38)+SUM(O28:O32)</f>
        <v>54031.9</v>
      </c>
      <c r="P39" s="85">
        <f>SUM(P35:P38)+SUM(P28:P32)</f>
        <v>2331.9</v>
      </c>
      <c r="Q39" s="85">
        <f>SUM(Q35:Q38)+SUM(Q28:Q32)</f>
        <v>23594.3</v>
      </c>
      <c r="R39" s="85">
        <f>SUM(R35:R38)+SUM(R28:R32)</f>
        <v>663.40000000000009</v>
      </c>
      <c r="S39" s="86">
        <f>SUM(P39:R39)</f>
        <v>26589.600000000002</v>
      </c>
      <c r="T39" s="87">
        <f>SUM(T28:T32)+SUM(T35:T38)</f>
        <v>47</v>
      </c>
      <c r="U39" s="88">
        <f>SUM(U35:U38)+SUM(U28:U32)</f>
        <v>26636.6</v>
      </c>
      <c r="V39" s="85">
        <f>SUM(V35:V38)+SUM(V28:V32)</f>
        <v>5035.1000000000004</v>
      </c>
      <c r="W39" s="85">
        <f>SUM(W35:W38)+SUM(W28:W32)</f>
        <v>46628.6</v>
      </c>
      <c r="X39" s="85">
        <f>SUM(X35:X38)+SUM(X28:X32)</f>
        <v>1050.9000000000001</v>
      </c>
      <c r="Y39" s="86">
        <f>SUM(V39:X39)</f>
        <v>52714.6</v>
      </c>
      <c r="Z39" s="87">
        <f>SUM(Z28:Z32)+SUM(Z35:Z38)</f>
        <v>580</v>
      </c>
      <c r="AA39" s="88">
        <f>SUM(AA35:AA38)+SUM(AA28:AA32)</f>
        <v>53294.6</v>
      </c>
      <c r="AB39" s="89">
        <f t="shared" si="12"/>
        <v>0.98635435733335297</v>
      </c>
      <c r="AC39" s="3"/>
      <c r="AD39" s="3"/>
    </row>
    <row r="40" spans="1:30" ht="19.5" thickBot="1" x14ac:dyDescent="0.35">
      <c r="A40" s="1"/>
      <c r="B40" s="90" t="s">
        <v>74</v>
      </c>
      <c r="C40" s="91" t="s">
        <v>75</v>
      </c>
      <c r="D40" s="92">
        <f t="shared" ref="D40:AA40" si="21">D24-D39</f>
        <v>0</v>
      </c>
      <c r="E40" s="92">
        <f t="shared" si="21"/>
        <v>0</v>
      </c>
      <c r="F40" s="92">
        <f t="shared" si="21"/>
        <v>0</v>
      </c>
      <c r="G40" s="93">
        <f t="shared" si="21"/>
        <v>0</v>
      </c>
      <c r="H40" s="93">
        <f t="shared" si="21"/>
        <v>67.700000000000102</v>
      </c>
      <c r="I40" s="94">
        <f t="shared" si="21"/>
        <v>67.700000000004366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-7.4000000000000909</v>
      </c>
      <c r="Q40" s="92">
        <f t="shared" si="21"/>
        <v>419.70000000000073</v>
      </c>
      <c r="R40" s="92">
        <f t="shared" si="21"/>
        <v>38.5</v>
      </c>
      <c r="S40" s="93">
        <f t="shared" si="21"/>
        <v>450.79999999999927</v>
      </c>
      <c r="T40" s="93">
        <f t="shared" si="21"/>
        <v>362.5</v>
      </c>
      <c r="U40" s="94">
        <f t="shared" si="21"/>
        <v>813.29999999999927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76</v>
      </c>
      <c r="C41" s="97" t="s">
        <v>77</v>
      </c>
      <c r="D41" s="98"/>
      <c r="E41" s="99"/>
      <c r="F41" s="99"/>
      <c r="G41" s="100"/>
      <c r="H41" s="101"/>
      <c r="I41" s="102">
        <f>I40-D16</f>
        <v>-4047.0999999999958</v>
      </c>
      <c r="J41" s="98"/>
      <c r="K41" s="99"/>
      <c r="L41" s="99"/>
      <c r="M41" s="100"/>
      <c r="N41" s="103"/>
      <c r="O41" s="102">
        <f>O40-J16</f>
        <v>-4360.6000000000004</v>
      </c>
      <c r="P41" s="98"/>
      <c r="Q41" s="99"/>
      <c r="R41" s="99"/>
      <c r="S41" s="100"/>
      <c r="T41" s="103"/>
      <c r="U41" s="102">
        <f>U40-P16</f>
        <v>-1355.7000000000007</v>
      </c>
      <c r="V41" s="98"/>
      <c r="W41" s="99"/>
      <c r="X41" s="99"/>
      <c r="Y41" s="100"/>
      <c r="Z41" s="103"/>
      <c r="AA41" s="102">
        <f>AA40-V16</f>
        <v>-4866.8</v>
      </c>
      <c r="AB41" s="21">
        <f t="shared" si="12"/>
        <v>1.1160849424391139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928" t="s">
        <v>78</v>
      </c>
      <c r="D43" s="112" t="s">
        <v>79</v>
      </c>
      <c r="E43" s="113" t="s">
        <v>80</v>
      </c>
      <c r="F43" s="114" t="s">
        <v>81</v>
      </c>
      <c r="G43" s="108"/>
      <c r="H43" s="108"/>
      <c r="I43" s="115"/>
      <c r="J43" s="112" t="s">
        <v>79</v>
      </c>
      <c r="K43" s="113" t="s">
        <v>80</v>
      </c>
      <c r="L43" s="114" t="s">
        <v>81</v>
      </c>
      <c r="M43" s="108"/>
      <c r="N43" s="108"/>
      <c r="O43" s="108"/>
      <c r="P43" s="112" t="s">
        <v>79</v>
      </c>
      <c r="Q43" s="113" t="s">
        <v>80</v>
      </c>
      <c r="R43" s="114" t="s">
        <v>81</v>
      </c>
      <c r="S43" s="109"/>
      <c r="T43" s="109"/>
      <c r="U43" s="109"/>
      <c r="V43" s="112" t="s">
        <v>79</v>
      </c>
      <c r="W43" s="113" t="s">
        <v>80</v>
      </c>
      <c r="X43" s="114" t="s">
        <v>81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929"/>
      <c r="D44" s="116">
        <v>603.9</v>
      </c>
      <c r="E44" s="117">
        <v>603.9</v>
      </c>
      <c r="F44" s="118">
        <v>0</v>
      </c>
      <c r="G44" s="108"/>
      <c r="H44" s="108"/>
      <c r="I44" s="115"/>
      <c r="J44" s="116">
        <v>603.9</v>
      </c>
      <c r="K44" s="117">
        <v>603.9</v>
      </c>
      <c r="L44" s="118">
        <v>0</v>
      </c>
      <c r="M44" s="119"/>
      <c r="N44" s="119"/>
      <c r="O44" s="119"/>
      <c r="P44" s="116">
        <v>301.89999999999998</v>
      </c>
      <c r="Q44" s="117">
        <v>301.89999999999998</v>
      </c>
      <c r="R44" s="118">
        <v>0</v>
      </c>
      <c r="S44" s="3"/>
      <c r="T44" s="3"/>
      <c r="U44" s="3"/>
      <c r="V44" s="116">
        <v>603.9</v>
      </c>
      <c r="W44" s="117">
        <v>603.9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928" t="s">
        <v>82</v>
      </c>
      <c r="D46" s="120" t="s">
        <v>83</v>
      </c>
      <c r="E46" s="121" t="s">
        <v>84</v>
      </c>
      <c r="F46" s="108"/>
      <c r="G46" s="108"/>
      <c r="H46" s="108"/>
      <c r="I46" s="115"/>
      <c r="J46" s="120" t="s">
        <v>83</v>
      </c>
      <c r="K46" s="121" t="s">
        <v>84</v>
      </c>
      <c r="L46" s="122"/>
      <c r="M46" s="122"/>
      <c r="N46" s="109"/>
      <c r="O46" s="109"/>
      <c r="P46" s="120" t="s">
        <v>83</v>
      </c>
      <c r="Q46" s="121" t="s">
        <v>84</v>
      </c>
      <c r="R46" s="109"/>
      <c r="S46" s="109"/>
      <c r="T46" s="109"/>
      <c r="U46" s="109"/>
      <c r="V46" s="120" t="s">
        <v>83</v>
      </c>
      <c r="W46" s="121" t="s">
        <v>84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930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85</v>
      </c>
      <c r="D49" s="127" t="s">
        <v>86</v>
      </c>
      <c r="E49" s="127" t="s">
        <v>87</v>
      </c>
      <c r="F49" s="127" t="s">
        <v>88</v>
      </c>
      <c r="G49" s="127" t="s">
        <v>89</v>
      </c>
      <c r="H49" s="108"/>
      <c r="I49" s="3"/>
      <c r="J49" s="127" t="s">
        <v>86</v>
      </c>
      <c r="K49" s="127" t="s">
        <v>87</v>
      </c>
      <c r="L49" s="127" t="s">
        <v>88</v>
      </c>
      <c r="M49" s="127" t="s">
        <v>90</v>
      </c>
      <c r="N49" s="3"/>
      <c r="O49" s="3"/>
      <c r="P49" s="127" t="s">
        <v>86</v>
      </c>
      <c r="Q49" s="127" t="s">
        <v>87</v>
      </c>
      <c r="R49" s="127" t="s">
        <v>88</v>
      </c>
      <c r="S49" s="127" t="s">
        <v>253</v>
      </c>
      <c r="T49" s="3"/>
      <c r="U49" s="3"/>
      <c r="V49" s="127" t="s">
        <v>92</v>
      </c>
      <c r="W49" s="127" t="s">
        <v>87</v>
      </c>
      <c r="X49" s="127" t="s">
        <v>88</v>
      </c>
      <c r="Y49" s="127" t="s">
        <v>90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>
        <f>SUM(D51:D54)</f>
        <v>2940.5000000000005</v>
      </c>
      <c r="E50" s="129">
        <f t="shared" ref="E50:F50" si="22">SUM(E51:E54)</f>
        <v>2437.1</v>
      </c>
      <c r="F50" s="129">
        <f t="shared" si="22"/>
        <v>2501.6000000000004</v>
      </c>
      <c r="G50" s="130">
        <f>D50+E50-F50</f>
        <v>2876</v>
      </c>
      <c r="H50" s="108"/>
      <c r="I50" s="3"/>
      <c r="J50" s="129">
        <f>SUM(J51:J54)</f>
        <v>0</v>
      </c>
      <c r="K50" s="129">
        <f t="shared" ref="K50:L50" si="23">SUM(K51:K54)</f>
        <v>1516.3000000000002</v>
      </c>
      <c r="L50" s="129">
        <f t="shared" si="23"/>
        <v>1516.3000000000002</v>
      </c>
      <c r="M50" s="130">
        <f>J50+K50-L50</f>
        <v>0</v>
      </c>
      <c r="N50" s="3"/>
      <c r="O50" s="3"/>
      <c r="P50" s="129">
        <f>SUM(P51:P54)</f>
        <v>2876</v>
      </c>
      <c r="Q50" s="129">
        <f t="shared" ref="Q50:R50" si="24">SUM(Q51:Q54)</f>
        <v>1046.5</v>
      </c>
      <c r="R50" s="129">
        <f t="shared" si="24"/>
        <v>1084.4000000000001</v>
      </c>
      <c r="S50" s="130">
        <f>P50+Q50-R50</f>
        <v>2838.1</v>
      </c>
      <c r="T50" s="3"/>
      <c r="U50" s="3"/>
      <c r="V50" s="129">
        <f>SUM(V51:V54)</f>
        <v>0</v>
      </c>
      <c r="W50" s="129">
        <f t="shared" ref="W50:Y50" si="25">SUM(W51:W54)</f>
        <v>1527.1</v>
      </c>
      <c r="X50" s="129">
        <f t="shared" si="25"/>
        <v>1527.1</v>
      </c>
      <c r="Y50" s="129">
        <f t="shared" si="25"/>
        <v>0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1532.7</v>
      </c>
      <c r="E51" s="129">
        <v>864.9</v>
      </c>
      <c r="F51" s="129">
        <v>1343</v>
      </c>
      <c r="G51" s="130">
        <f t="shared" ref="G51:G54" si="26">D51+E51-F51</f>
        <v>1054.5999999999999</v>
      </c>
      <c r="H51" s="108"/>
      <c r="I51" s="3"/>
      <c r="J51" s="129">
        <v>0</v>
      </c>
      <c r="K51" s="129">
        <v>0</v>
      </c>
      <c r="L51" s="129">
        <v>0</v>
      </c>
      <c r="M51" s="130">
        <f t="shared" ref="M51:M54" si="27">J51+K51-L51</f>
        <v>0</v>
      </c>
      <c r="N51" s="3"/>
      <c r="O51" s="3"/>
      <c r="P51" s="129">
        <v>1054.5999999999999</v>
      </c>
      <c r="Q51" s="129">
        <v>253</v>
      </c>
      <c r="R51" s="129">
        <v>223.4</v>
      </c>
      <c r="S51" s="130">
        <f t="shared" ref="S51:S54" si="28">P51+Q51-R51</f>
        <v>1084.1999999999998</v>
      </c>
      <c r="T51" s="3"/>
      <c r="U51" s="3"/>
      <c r="V51" s="129">
        <v>0</v>
      </c>
      <c r="W51" s="129">
        <v>0</v>
      </c>
      <c r="X51" s="129">
        <v>0</v>
      </c>
      <c r="Y51" s="130">
        <f t="shared" ref="Y51:Y54" si="29">V51+W51-X51</f>
        <v>0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539.1</v>
      </c>
      <c r="E52" s="129">
        <v>869.4</v>
      </c>
      <c r="F52" s="129">
        <v>688.4</v>
      </c>
      <c r="G52" s="130">
        <f t="shared" si="26"/>
        <v>720.1</v>
      </c>
      <c r="H52" s="108"/>
      <c r="I52" s="3"/>
      <c r="J52" s="129">
        <v>0</v>
      </c>
      <c r="K52" s="129">
        <v>858.7</v>
      </c>
      <c r="L52" s="129">
        <v>858.7</v>
      </c>
      <c r="M52" s="130">
        <f t="shared" si="27"/>
        <v>0</v>
      </c>
      <c r="N52" s="3"/>
      <c r="O52" s="3"/>
      <c r="P52" s="129">
        <v>720.1</v>
      </c>
      <c r="Q52" s="129">
        <v>448.8</v>
      </c>
      <c r="R52" s="129">
        <v>301.89999999999998</v>
      </c>
      <c r="S52" s="130">
        <f t="shared" si="28"/>
        <v>867.00000000000011</v>
      </c>
      <c r="T52" s="3"/>
      <c r="U52" s="3"/>
      <c r="V52" s="129">
        <v>0</v>
      </c>
      <c r="W52" s="129">
        <v>854.8</v>
      </c>
      <c r="X52" s="129">
        <v>854.8</v>
      </c>
      <c r="Y52" s="130">
        <f t="shared" si="29"/>
        <v>0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264.3</v>
      </c>
      <c r="E53" s="129">
        <v>34</v>
      </c>
      <c r="F53" s="129">
        <v>5.2</v>
      </c>
      <c r="G53" s="130">
        <f t="shared" si="26"/>
        <v>293.10000000000002</v>
      </c>
      <c r="H53" s="108"/>
      <c r="I53" s="3"/>
      <c r="J53" s="129">
        <v>0</v>
      </c>
      <c r="K53" s="129">
        <v>0</v>
      </c>
      <c r="L53" s="129">
        <v>0</v>
      </c>
      <c r="M53" s="130">
        <f t="shared" si="27"/>
        <v>0</v>
      </c>
      <c r="N53" s="3"/>
      <c r="O53" s="3"/>
      <c r="P53" s="129">
        <v>293.10000000000002</v>
      </c>
      <c r="Q53" s="129">
        <v>0</v>
      </c>
      <c r="R53" s="129">
        <v>0</v>
      </c>
      <c r="S53" s="130">
        <f t="shared" si="28"/>
        <v>293.10000000000002</v>
      </c>
      <c r="T53" s="3"/>
      <c r="U53" s="3"/>
      <c r="V53" s="129">
        <v>0</v>
      </c>
      <c r="W53" s="129">
        <v>0</v>
      </c>
      <c r="X53" s="129">
        <v>0</v>
      </c>
      <c r="Y53" s="130">
        <f t="shared" si="29"/>
        <v>0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3" t="s">
        <v>97</v>
      </c>
      <c r="D54" s="129">
        <v>604.4</v>
      </c>
      <c r="E54" s="129">
        <v>668.8</v>
      </c>
      <c r="F54" s="129">
        <v>465</v>
      </c>
      <c r="G54" s="130">
        <f t="shared" si="26"/>
        <v>808.19999999999982</v>
      </c>
      <c r="H54" s="108"/>
      <c r="I54" s="3"/>
      <c r="J54" s="129">
        <v>0</v>
      </c>
      <c r="K54" s="129">
        <v>657.6</v>
      </c>
      <c r="L54" s="129">
        <v>657.6</v>
      </c>
      <c r="M54" s="130">
        <f t="shared" si="27"/>
        <v>0</v>
      </c>
      <c r="N54" s="3"/>
      <c r="O54" s="3"/>
      <c r="P54" s="129">
        <v>808.2</v>
      </c>
      <c r="Q54" s="129">
        <v>344.7</v>
      </c>
      <c r="R54" s="129">
        <v>559.1</v>
      </c>
      <c r="S54" s="130">
        <f t="shared" si="28"/>
        <v>593.80000000000007</v>
      </c>
      <c r="T54" s="3"/>
      <c r="U54" s="3"/>
      <c r="V54" s="129">
        <v>0</v>
      </c>
      <c r="W54" s="129">
        <v>672.3</v>
      </c>
      <c r="X54" s="129">
        <v>672.3</v>
      </c>
      <c r="Y54" s="130">
        <f t="shared" si="29"/>
        <v>0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4">
        <v>65.599999999999994</v>
      </c>
      <c r="E57" s="134">
        <v>68.7</v>
      </c>
      <c r="F57" s="108"/>
      <c r="G57" s="108"/>
      <c r="H57" s="108"/>
      <c r="I57" s="115"/>
      <c r="J57" s="134">
        <v>67</v>
      </c>
      <c r="K57" s="108"/>
      <c r="L57" s="108"/>
      <c r="M57" s="108"/>
      <c r="N57" s="108"/>
      <c r="O57" s="115"/>
      <c r="P57" s="134">
        <v>67.5</v>
      </c>
      <c r="Q57" s="115"/>
      <c r="R57" s="115"/>
      <c r="S57" s="115"/>
      <c r="T57" s="115"/>
      <c r="U57" s="115"/>
      <c r="V57" s="134">
        <v>71.8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5" t="s">
        <v>254</v>
      </c>
      <c r="C59" s="136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  <c r="O59" s="931"/>
      <c r="P59" s="931"/>
      <c r="Q59" s="931"/>
      <c r="R59" s="931"/>
      <c r="S59" s="931"/>
      <c r="T59" s="931"/>
      <c r="U59" s="931"/>
      <c r="V59" s="137"/>
      <c r="W59" s="137"/>
      <c r="X59" s="137"/>
      <c r="Y59" s="137"/>
      <c r="Z59" s="137"/>
      <c r="AA59" s="137"/>
      <c r="AB59" s="138"/>
      <c r="AC59" s="3"/>
      <c r="AD59" s="3"/>
    </row>
    <row r="60" spans="1:30" x14ac:dyDescent="0.25">
      <c r="A60" s="1"/>
      <c r="B60" s="806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0"/>
      <c r="AC60" s="3"/>
      <c r="AD60" s="3"/>
    </row>
    <row r="61" spans="1:30" x14ac:dyDescent="0.25">
      <c r="A61" s="1"/>
      <c r="B61" s="923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110"/>
      <c r="W61" s="110"/>
      <c r="X61" s="110"/>
      <c r="Y61" s="110"/>
      <c r="Z61" s="110"/>
      <c r="AA61" s="110"/>
      <c r="AB61" s="140"/>
      <c r="AC61" s="3"/>
      <c r="AD61" s="3"/>
    </row>
    <row r="62" spans="1:30" x14ac:dyDescent="0.25">
      <c r="A62" s="1"/>
      <c r="B62" s="923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110"/>
      <c r="W62" s="110"/>
      <c r="X62" s="110"/>
      <c r="Y62" s="110"/>
      <c r="Z62" s="110"/>
      <c r="AA62" s="110"/>
      <c r="AB62" s="140"/>
      <c r="AC62" s="3"/>
      <c r="AD62" s="3"/>
    </row>
    <row r="63" spans="1:30" x14ac:dyDescent="0.25">
      <c r="A63" s="1"/>
      <c r="B63" s="925"/>
      <c r="C63" s="921"/>
      <c r="D63" s="921"/>
      <c r="E63" s="921"/>
      <c r="F63" s="921"/>
      <c r="G63" s="921"/>
      <c r="H63" s="921"/>
      <c r="I63" s="921"/>
      <c r="J63" s="921"/>
      <c r="K63" s="921"/>
      <c r="L63" s="921"/>
      <c r="M63" s="921"/>
      <c r="N63" s="921"/>
      <c r="O63" s="921"/>
      <c r="P63" s="921"/>
      <c r="Q63" s="921"/>
      <c r="R63" s="921"/>
      <c r="S63" s="921"/>
      <c r="T63" s="921"/>
      <c r="U63" s="921"/>
      <c r="V63" s="110"/>
      <c r="W63" s="110"/>
      <c r="X63" s="110"/>
      <c r="Y63" s="110"/>
      <c r="Z63" s="110"/>
      <c r="AA63" s="110"/>
      <c r="AB63" s="140"/>
      <c r="AC63" s="3"/>
      <c r="AD63" s="3"/>
    </row>
    <row r="64" spans="1:30" x14ac:dyDescent="0.25">
      <c r="A64" s="1"/>
      <c r="B64" s="806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10"/>
      <c r="W64" s="110"/>
      <c r="X64" s="110"/>
      <c r="Y64" s="110"/>
      <c r="Z64" s="110"/>
      <c r="AA64" s="110"/>
      <c r="AB64" s="140"/>
      <c r="AC64" s="3"/>
      <c r="AD64" s="3"/>
    </row>
    <row r="65" spans="1:30" x14ac:dyDescent="0.25">
      <c r="A65" s="1"/>
      <c r="B65" s="163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10"/>
      <c r="W65" s="110"/>
      <c r="X65" s="110"/>
      <c r="Y65" s="110"/>
      <c r="Z65" s="110"/>
      <c r="AA65" s="110"/>
      <c r="AB65" s="140"/>
      <c r="AC65" s="3"/>
      <c r="AD65" s="3"/>
    </row>
    <row r="66" spans="1:30" x14ac:dyDescent="0.25">
      <c r="A66" s="1"/>
      <c r="B66" s="163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10"/>
      <c r="W66" s="110"/>
      <c r="X66" s="110"/>
      <c r="Y66" s="110"/>
      <c r="Z66" s="110"/>
      <c r="AA66" s="110"/>
      <c r="AB66" s="140"/>
      <c r="AC66" s="3"/>
      <c r="AD66" s="3"/>
    </row>
    <row r="67" spans="1:30" x14ac:dyDescent="0.25">
      <c r="A67" s="1"/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10"/>
      <c r="W67" s="110"/>
      <c r="X67" s="110"/>
      <c r="Y67" s="110"/>
      <c r="Z67" s="110"/>
      <c r="AA67" s="110"/>
      <c r="AB67" s="140"/>
      <c r="AC67" s="3"/>
      <c r="AD67" s="3"/>
    </row>
    <row r="68" spans="1:30" x14ac:dyDescent="0.25">
      <c r="A68" s="1"/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10"/>
      <c r="W68" s="110"/>
      <c r="X68" s="110"/>
      <c r="Y68" s="110"/>
      <c r="Z68" s="110"/>
      <c r="AA68" s="110"/>
      <c r="AB68" s="140"/>
      <c r="AC68" s="3"/>
      <c r="AD68" s="3"/>
    </row>
    <row r="69" spans="1:30" x14ac:dyDescent="0.25">
      <c r="A69" s="1"/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10"/>
      <c r="W69" s="110"/>
      <c r="X69" s="110"/>
      <c r="Y69" s="110"/>
      <c r="Z69" s="110"/>
      <c r="AA69" s="110"/>
      <c r="AB69" s="140"/>
      <c r="AC69" s="3"/>
      <c r="AD69" s="3"/>
    </row>
    <row r="70" spans="1:30" x14ac:dyDescent="0.25">
      <c r="A70" s="1"/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10"/>
      <c r="W70" s="110"/>
      <c r="X70" s="110"/>
      <c r="Y70" s="110"/>
      <c r="Z70" s="110"/>
      <c r="AA70" s="110"/>
      <c r="AB70" s="140"/>
      <c r="AC70" s="3"/>
      <c r="AD70" s="3"/>
    </row>
    <row r="71" spans="1:30" x14ac:dyDescent="0.25">
      <c r="A71" s="1"/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10"/>
      <c r="W71" s="110"/>
      <c r="X71" s="110"/>
      <c r="Y71" s="110"/>
      <c r="Z71" s="110"/>
      <c r="AA71" s="110"/>
      <c r="AB71" s="140"/>
      <c r="AC71" s="3"/>
      <c r="AD71" s="3"/>
    </row>
    <row r="72" spans="1:30" x14ac:dyDescent="0.25">
      <c r="A72" s="1"/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10"/>
      <c r="W72" s="110"/>
      <c r="X72" s="110"/>
      <c r="Y72" s="110"/>
      <c r="Z72" s="110"/>
      <c r="AA72" s="110"/>
      <c r="AB72" s="140"/>
      <c r="AC72" s="3"/>
      <c r="AD72" s="3"/>
    </row>
    <row r="73" spans="1:30" x14ac:dyDescent="0.25">
      <c r="A73" s="1"/>
      <c r="B73" s="925"/>
      <c r="C73" s="921"/>
      <c r="D73" s="921"/>
      <c r="E73" s="921"/>
      <c r="F73" s="921"/>
      <c r="G73" s="921"/>
      <c r="H73" s="921"/>
      <c r="I73" s="921"/>
      <c r="J73" s="921"/>
      <c r="K73" s="921"/>
      <c r="L73" s="921"/>
      <c r="M73" s="921"/>
      <c r="N73" s="921"/>
      <c r="O73" s="921"/>
      <c r="P73" s="921"/>
      <c r="Q73" s="921"/>
      <c r="R73" s="921"/>
      <c r="S73" s="921"/>
      <c r="T73" s="921"/>
      <c r="U73" s="921"/>
      <c r="V73" s="110"/>
      <c r="W73" s="110"/>
      <c r="X73" s="110"/>
      <c r="Y73" s="110"/>
      <c r="Z73" s="110"/>
      <c r="AA73" s="110"/>
      <c r="AB73" s="140"/>
      <c r="AC73" s="3"/>
      <c r="AD73" s="3"/>
    </row>
    <row r="74" spans="1:30" x14ac:dyDescent="0.25">
      <c r="A74" s="1"/>
      <c r="B74" s="143"/>
      <c r="C74" s="162"/>
      <c r="D74" s="162"/>
      <c r="E74" s="16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10"/>
      <c r="W74" s="110"/>
      <c r="X74" s="110"/>
      <c r="Y74" s="110"/>
      <c r="Z74" s="110"/>
      <c r="AA74" s="110"/>
      <c r="AB74" s="140"/>
      <c r="AC74" s="3"/>
      <c r="AD74" s="3"/>
    </row>
    <row r="75" spans="1:30" x14ac:dyDescent="0.25">
      <c r="A75" s="1"/>
      <c r="B75" s="161"/>
      <c r="C75" s="160"/>
      <c r="D75" s="145"/>
      <c r="E75" s="145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10"/>
      <c r="W75" s="110"/>
      <c r="X75" s="110"/>
      <c r="Y75" s="110"/>
      <c r="Z75" s="110"/>
      <c r="AA75" s="110"/>
      <c r="AB75" s="140"/>
      <c r="AC75" s="3"/>
      <c r="AD75" s="3"/>
    </row>
    <row r="76" spans="1:30" x14ac:dyDescent="0.25">
      <c r="A76" s="1"/>
      <c r="B76" s="143"/>
      <c r="C76" s="144"/>
      <c r="D76" s="145"/>
      <c r="E76" s="145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10"/>
      <c r="W76" s="110"/>
      <c r="X76" s="110"/>
      <c r="Y76" s="110"/>
      <c r="Z76" s="110"/>
      <c r="AA76" s="110"/>
      <c r="AB76" s="140"/>
      <c r="AC76" s="3"/>
      <c r="AD76" s="3"/>
    </row>
    <row r="77" spans="1:30" x14ac:dyDescent="0.25">
      <c r="A77" s="1"/>
      <c r="B77" s="143"/>
      <c r="C77" s="144"/>
      <c r="D77" s="145"/>
      <c r="E77" s="145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10"/>
      <c r="W77" s="110"/>
      <c r="X77" s="110"/>
      <c r="Y77" s="110"/>
      <c r="Z77" s="110"/>
      <c r="AA77" s="110"/>
      <c r="AB77" s="140"/>
      <c r="AC77" s="3"/>
      <c r="AD77" s="3"/>
    </row>
    <row r="78" spans="1:30" x14ac:dyDescent="0.25">
      <c r="A78" s="1"/>
      <c r="B78" s="146"/>
      <c r="C78" s="147"/>
      <c r="D78" s="148"/>
      <c r="E78" s="148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50"/>
      <c r="W78" s="150"/>
      <c r="X78" s="150"/>
      <c r="Y78" s="150"/>
      <c r="Z78" s="150"/>
      <c r="AA78" s="150"/>
      <c r="AB78" s="151"/>
      <c r="AC78" s="3"/>
      <c r="AD78" s="3"/>
    </row>
    <row r="79" spans="1:30" x14ac:dyDescent="0.25">
      <c r="A79" s="104"/>
      <c r="B79" s="152"/>
      <c r="C79" s="153"/>
      <c r="D79" s="152"/>
      <c r="E79" s="152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25">
      <c r="A80" s="104"/>
      <c r="B80" s="152"/>
      <c r="C80" s="153"/>
      <c r="D80" s="152"/>
      <c r="E80" s="152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25">
      <c r="A81" s="1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25">
      <c r="A82" s="1"/>
      <c r="B82" s="155" t="s">
        <v>109</v>
      </c>
      <c r="C82" s="156">
        <v>44854</v>
      </c>
      <c r="D82" s="155" t="s">
        <v>110</v>
      </c>
      <c r="E82" s="921" t="s">
        <v>255</v>
      </c>
      <c r="F82" s="921"/>
      <c r="G82" s="921"/>
      <c r="H82" s="155"/>
      <c r="I82" s="155" t="s">
        <v>112</v>
      </c>
      <c r="J82" s="922" t="s">
        <v>256</v>
      </c>
      <c r="K82" s="922"/>
      <c r="L82" s="922"/>
      <c r="M82" s="922"/>
      <c r="N82" s="155"/>
      <c r="O82" s="155"/>
      <c r="P82" s="155"/>
      <c r="Q82" s="155"/>
      <c r="R82" s="155"/>
      <c r="S82" s="155"/>
      <c r="T82" s="155"/>
      <c r="U82" s="155"/>
      <c r="V82" s="3"/>
      <c r="W82" s="3"/>
      <c r="X82" s="3"/>
      <c r="Y82" s="3"/>
      <c r="Z82" s="3"/>
      <c r="AA82" s="3"/>
      <c r="AB82" s="3"/>
      <c r="AC82" s="3"/>
      <c r="AD82" s="3"/>
    </row>
    <row r="83" spans="1:30" ht="7.5" customHeight="1" x14ac:dyDescent="0.25">
      <c r="A83" s="1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25">
      <c r="A84" s="1"/>
      <c r="B84" s="155"/>
      <c r="C84" s="155"/>
      <c r="D84" s="155" t="s">
        <v>114</v>
      </c>
      <c r="E84" s="157"/>
      <c r="F84" s="157"/>
      <c r="G84" s="157"/>
      <c r="H84" s="155"/>
      <c r="I84" s="155" t="s">
        <v>114</v>
      </c>
      <c r="J84" s="158"/>
      <c r="K84" s="158"/>
      <c r="L84" s="158"/>
      <c r="M84" s="158"/>
      <c r="N84" s="155"/>
      <c r="O84" s="155"/>
      <c r="P84" s="155"/>
      <c r="Q84" s="155"/>
      <c r="R84" s="155"/>
      <c r="S84" s="155"/>
      <c r="T84" s="155"/>
      <c r="U84" s="155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25">
      <c r="A85" s="1"/>
      <c r="B85" s="155"/>
      <c r="C85" s="155"/>
      <c r="D85" s="155"/>
      <c r="E85" s="157"/>
      <c r="F85" s="157"/>
      <c r="G85" s="157"/>
      <c r="H85" s="155"/>
      <c r="I85" s="155"/>
      <c r="J85" s="158"/>
      <c r="K85" s="158"/>
      <c r="L85" s="158"/>
      <c r="M85" s="158"/>
      <c r="N85" s="155"/>
      <c r="O85" s="155"/>
      <c r="P85" s="155"/>
      <c r="Q85" s="155"/>
      <c r="R85" s="155"/>
      <c r="S85" s="155"/>
      <c r="T85" s="155"/>
      <c r="U85" s="155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25">
      <c r="A86" s="1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25">
      <c r="A87" s="1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3"/>
      <c r="W87" s="3"/>
      <c r="X87" s="3"/>
      <c r="Y87" s="3"/>
      <c r="Z87" s="3"/>
      <c r="AA87" s="3"/>
      <c r="AB87" s="3"/>
      <c r="AC87" s="3"/>
      <c r="AD87" s="3"/>
    </row>
    <row r="88" spans="1:30" hidden="1" x14ac:dyDescent="0.25">
      <c r="AC88" s="4"/>
      <c r="AD88" s="4"/>
    </row>
    <row r="89" spans="1:30" hidden="1" x14ac:dyDescent="0.25"/>
    <row r="90" spans="1:30" hidden="1" x14ac:dyDescent="0.25"/>
    <row r="91" spans="1:30" hidden="1" x14ac:dyDescent="0.25"/>
    <row r="92" spans="1:30" hidden="1" x14ac:dyDescent="0.25"/>
    <row r="93" spans="1:30" hidden="1" x14ac:dyDescent="0.25"/>
    <row r="94" spans="1:30" hidden="1" x14ac:dyDescent="0.25"/>
    <row r="95" spans="1:30" hidden="1" x14ac:dyDescent="0.25"/>
    <row r="96" spans="1:30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t="15" hidden="1" customHeight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t="15" hidden="1" customHeight="1" x14ac:dyDescent="0.25"/>
    <row r="119" ht="15" hidden="1" customHeight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73:U73"/>
    <mergeCell ref="E82:G82"/>
    <mergeCell ref="J82:M82"/>
  </mergeCells>
  <conditionalFormatting sqref="AB15:AB25">
    <cfRule type="cellIs" dxfId="19" priority="3" operator="equal">
      <formula>0</formula>
    </cfRule>
    <cfRule type="containsErrors" dxfId="18" priority="4">
      <formula>ISERROR(AB15)</formula>
    </cfRule>
  </conditionalFormatting>
  <conditionalFormatting sqref="AB28:AB41">
    <cfRule type="cellIs" dxfId="17" priority="1" operator="equal">
      <formula>0</formula>
    </cfRule>
    <cfRule type="containsErrors" dxfId="16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view="pageBreakPreview" zoomScale="80" zoomScaleNormal="80" zoomScaleSheetLayoutView="80" workbookViewId="0">
      <selection activeCell="V30" sqref="V3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59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257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72444341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82" t="s">
        <v>258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9</v>
      </c>
      <c r="K10" s="883"/>
      <c r="L10" s="883"/>
      <c r="M10" s="883"/>
      <c r="N10" s="883"/>
      <c r="O10" s="884"/>
      <c r="P10" s="882" t="s">
        <v>10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890"/>
      <c r="H14" s="892"/>
      <c r="I14" s="912"/>
      <c r="J14" s="11" t="s">
        <v>20</v>
      </c>
      <c r="K14" s="12" t="s">
        <v>21</v>
      </c>
      <c r="L14" s="12" t="s">
        <v>22</v>
      </c>
      <c r="M14" s="890"/>
      <c r="N14" s="892"/>
      <c r="O14" s="912"/>
      <c r="P14" s="11" t="s">
        <v>20</v>
      </c>
      <c r="Q14" s="12" t="s">
        <v>21</v>
      </c>
      <c r="R14" s="12" t="s">
        <v>22</v>
      </c>
      <c r="S14" s="890"/>
      <c r="T14" s="892"/>
      <c r="U14" s="912"/>
      <c r="V14" s="11" t="s">
        <v>20</v>
      </c>
      <c r="W14" s="12" t="s">
        <v>21</v>
      </c>
      <c r="X14" s="12" t="s">
        <v>22</v>
      </c>
      <c r="Y14" s="890"/>
      <c r="Z14" s="892"/>
      <c r="AA14" s="912"/>
      <c r="AB14" s="902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748.4</v>
      </c>
      <c r="G15" s="18">
        <f>SUM(D15:F15)</f>
        <v>748.4</v>
      </c>
      <c r="H15" s="19">
        <v>0</v>
      </c>
      <c r="I15" s="20">
        <f>G15+H15</f>
        <v>748.4</v>
      </c>
      <c r="J15" s="15"/>
      <c r="K15" s="16"/>
      <c r="L15" s="17">
        <v>892</v>
      </c>
      <c r="M15" s="18">
        <f t="shared" ref="M15:M23" si="0">SUM(J15:L15)</f>
        <v>892</v>
      </c>
      <c r="N15" s="19">
        <v>0</v>
      </c>
      <c r="O15" s="20">
        <f>M15+N15</f>
        <v>892</v>
      </c>
      <c r="P15" s="15"/>
      <c r="Q15" s="16"/>
      <c r="R15" s="17">
        <v>618.20000000000005</v>
      </c>
      <c r="S15" s="18">
        <f>SUM(P15:R15)</f>
        <v>618.20000000000005</v>
      </c>
      <c r="T15" s="19">
        <v>0</v>
      </c>
      <c r="U15" s="20">
        <f>S15+T15</f>
        <v>618.20000000000005</v>
      </c>
      <c r="V15" s="15"/>
      <c r="W15" s="16"/>
      <c r="X15" s="17">
        <v>1040</v>
      </c>
      <c r="Y15" s="18">
        <f>SUM(V15:X15)</f>
        <v>1040</v>
      </c>
      <c r="Z15" s="19">
        <v>0</v>
      </c>
      <c r="AA15" s="20">
        <f>Y15+Z15</f>
        <v>1040</v>
      </c>
      <c r="AB15" s="21">
        <f>(AA15/O15)</f>
        <v>1.1659192825112108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2180.5</v>
      </c>
      <c r="E16" s="25"/>
      <c r="F16" s="25"/>
      <c r="G16" s="26">
        <f t="shared" ref="G16:G23" si="1">SUM(D16:F16)</f>
        <v>2180.5</v>
      </c>
      <c r="H16" s="27"/>
      <c r="I16" s="20">
        <f t="shared" ref="I16:I23" si="2">G16+H16</f>
        <v>2180.5</v>
      </c>
      <c r="J16" s="24">
        <v>2375</v>
      </c>
      <c r="K16" s="25"/>
      <c r="L16" s="25"/>
      <c r="M16" s="26">
        <f t="shared" si="0"/>
        <v>2375</v>
      </c>
      <c r="N16" s="27"/>
      <c r="O16" s="20">
        <f t="shared" ref="O16:O20" si="3">M16+N16</f>
        <v>2375</v>
      </c>
      <c r="P16" s="24">
        <v>1189.9000000000001</v>
      </c>
      <c r="Q16" s="25"/>
      <c r="R16" s="25"/>
      <c r="S16" s="26">
        <f t="shared" ref="S16:S23" si="4">SUM(P16:R16)</f>
        <v>1189.9000000000001</v>
      </c>
      <c r="T16" s="27"/>
      <c r="U16" s="20">
        <f t="shared" ref="U16:U20" si="5">S16+T16</f>
        <v>1189.9000000000001</v>
      </c>
      <c r="V16" s="24">
        <v>3245</v>
      </c>
      <c r="W16" s="25"/>
      <c r="X16" s="25"/>
      <c r="Y16" s="26">
        <f t="shared" ref="Y16:Y23" si="6">SUM(V16:X16)</f>
        <v>3245</v>
      </c>
      <c r="Z16" s="27"/>
      <c r="AA16" s="20">
        <f t="shared" ref="AA16:AA20" si="7">Y16+Z16</f>
        <v>3245</v>
      </c>
      <c r="AB16" s="21">
        <f t="shared" ref="AB16:AB24" si="8">(AA16/O16)</f>
        <v>1.3663157894736842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76.900000000000006</v>
      </c>
      <c r="E17" s="30"/>
      <c r="F17" s="30"/>
      <c r="G17" s="26">
        <f t="shared" si="1"/>
        <v>76.900000000000006</v>
      </c>
      <c r="H17" s="31"/>
      <c r="I17" s="20">
        <f t="shared" si="2"/>
        <v>76.900000000000006</v>
      </c>
      <c r="J17" s="29">
        <v>1077.4000000000001</v>
      </c>
      <c r="K17" s="30"/>
      <c r="L17" s="30"/>
      <c r="M17" s="26">
        <f t="shared" si="0"/>
        <v>1077.4000000000001</v>
      </c>
      <c r="N17" s="31"/>
      <c r="O17" s="20">
        <f t="shared" si="3"/>
        <v>1077.4000000000001</v>
      </c>
      <c r="P17" s="29">
        <v>107.2</v>
      </c>
      <c r="Q17" s="30"/>
      <c r="R17" s="30"/>
      <c r="S17" s="26">
        <f t="shared" si="4"/>
        <v>107.2</v>
      </c>
      <c r="T17" s="31"/>
      <c r="U17" s="20">
        <f t="shared" si="5"/>
        <v>107.2</v>
      </c>
      <c r="V17" s="29">
        <v>125</v>
      </c>
      <c r="W17" s="30"/>
      <c r="X17" s="30"/>
      <c r="Y17" s="26">
        <f t="shared" si="6"/>
        <v>125</v>
      </c>
      <c r="Z17" s="31"/>
      <c r="AA17" s="20">
        <f t="shared" si="7"/>
        <v>125</v>
      </c>
      <c r="AB17" s="21">
        <f t="shared" si="8"/>
        <v>0.11602004826434006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21455.8</v>
      </c>
      <c r="F18" s="30"/>
      <c r="G18" s="26">
        <f t="shared" si="1"/>
        <v>21455.8</v>
      </c>
      <c r="H18" s="19"/>
      <c r="I18" s="20">
        <f t="shared" si="2"/>
        <v>21455.8</v>
      </c>
      <c r="J18" s="33"/>
      <c r="K18" s="34">
        <v>21290.2</v>
      </c>
      <c r="L18" s="30"/>
      <c r="M18" s="26">
        <f t="shared" si="0"/>
        <v>21290.2</v>
      </c>
      <c r="N18" s="19"/>
      <c r="O18" s="20">
        <f t="shared" si="3"/>
        <v>21290.2</v>
      </c>
      <c r="P18" s="33"/>
      <c r="Q18" s="34">
        <v>10807.5</v>
      </c>
      <c r="R18" s="30"/>
      <c r="S18" s="26">
        <f t="shared" si="4"/>
        <v>10807.5</v>
      </c>
      <c r="T18" s="19"/>
      <c r="U18" s="20">
        <f t="shared" si="5"/>
        <v>10807.5</v>
      </c>
      <c r="V18" s="33"/>
      <c r="W18" s="34">
        <v>21752</v>
      </c>
      <c r="X18" s="30"/>
      <c r="Y18" s="26">
        <f t="shared" si="6"/>
        <v>21752</v>
      </c>
      <c r="Z18" s="19"/>
      <c r="AA18" s="20">
        <f t="shared" si="7"/>
        <v>21752</v>
      </c>
      <c r="AB18" s="21">
        <f t="shared" si="8"/>
        <v>1.0216907309466328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si="1"/>
        <v>0</v>
      </c>
      <c r="H19" s="38"/>
      <c r="I19" s="20">
        <f t="shared" si="2"/>
        <v>0</v>
      </c>
      <c r="J19" s="36"/>
      <c r="K19" s="30"/>
      <c r="L19" s="37"/>
      <c r="M19" s="26">
        <f t="shared" si="0"/>
        <v>0</v>
      </c>
      <c r="N19" s="38"/>
      <c r="O19" s="20">
        <f t="shared" si="3"/>
        <v>0</v>
      </c>
      <c r="P19" s="36"/>
      <c r="Q19" s="30"/>
      <c r="R19" s="37"/>
      <c r="S19" s="26">
        <f t="shared" si="4"/>
        <v>0</v>
      </c>
      <c r="T19" s="38"/>
      <c r="U19" s="20">
        <f t="shared" si="5"/>
        <v>0</v>
      </c>
      <c r="V19" s="36"/>
      <c r="W19" s="30"/>
      <c r="X19" s="37">
        <v>44.5</v>
      </c>
      <c r="Y19" s="26">
        <f t="shared" si="6"/>
        <v>44.5</v>
      </c>
      <c r="Z19" s="38"/>
      <c r="AA19" s="20">
        <f t="shared" si="7"/>
        <v>44.5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103.3</v>
      </c>
      <c r="G20" s="26">
        <v>103.3</v>
      </c>
      <c r="H20" s="38"/>
      <c r="I20" s="20">
        <f t="shared" si="2"/>
        <v>103.3</v>
      </c>
      <c r="J20" s="33"/>
      <c r="K20" s="25"/>
      <c r="L20" s="40"/>
      <c r="M20" s="26">
        <f t="shared" si="0"/>
        <v>0</v>
      </c>
      <c r="N20" s="38"/>
      <c r="O20" s="20">
        <f t="shared" si="3"/>
        <v>0</v>
      </c>
      <c r="P20" s="33"/>
      <c r="Q20" s="25"/>
      <c r="R20" s="40">
        <v>48.5</v>
      </c>
      <c r="S20" s="26">
        <f t="shared" si="4"/>
        <v>48.5</v>
      </c>
      <c r="T20" s="38"/>
      <c r="U20" s="20">
        <f t="shared" si="5"/>
        <v>48.5</v>
      </c>
      <c r="V20" s="33"/>
      <c r="W20" s="25"/>
      <c r="X20" s="40">
        <v>20</v>
      </c>
      <c r="Y20" s="26">
        <f t="shared" si="6"/>
        <v>20</v>
      </c>
      <c r="Z20" s="38"/>
      <c r="AA20" s="20">
        <f t="shared" si="7"/>
        <v>20</v>
      </c>
      <c r="AB20" s="21" t="e">
        <f t="shared" si="8"/>
        <v>#DIV/0!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76.5</v>
      </c>
      <c r="G21" s="26">
        <f t="shared" si="1"/>
        <v>76.5</v>
      </c>
      <c r="H21" s="42"/>
      <c r="I21" s="20">
        <f>G21+H21</f>
        <v>76.5</v>
      </c>
      <c r="J21" s="33"/>
      <c r="K21" s="25"/>
      <c r="L21" s="40"/>
      <c r="M21" s="26">
        <f t="shared" si="0"/>
        <v>0</v>
      </c>
      <c r="N21" s="42"/>
      <c r="O21" s="20">
        <f>M21+N21</f>
        <v>0</v>
      </c>
      <c r="P21" s="33"/>
      <c r="Q21" s="25"/>
      <c r="R21" s="40">
        <v>19.3</v>
      </c>
      <c r="S21" s="26">
        <f t="shared" si="4"/>
        <v>19.3</v>
      </c>
      <c r="T21" s="42"/>
      <c r="U21" s="20">
        <f>S21+T21</f>
        <v>19.3</v>
      </c>
      <c r="V21" s="33"/>
      <c r="W21" s="25"/>
      <c r="X21" s="40"/>
      <c r="Y21" s="26">
        <f t="shared" si="6"/>
        <v>0</v>
      </c>
      <c r="Z21" s="42"/>
      <c r="AA21" s="20">
        <f>Y21+Z21</f>
        <v>0</v>
      </c>
      <c r="AB21" s="21" t="e">
        <f t="shared" si="8"/>
        <v>#DIV/0!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/>
      <c r="I22" s="20">
        <f t="shared" si="2"/>
        <v>0</v>
      </c>
      <c r="J22" s="33"/>
      <c r="K22" s="25"/>
      <c r="L22" s="40"/>
      <c r="M22" s="26">
        <f t="shared" si="0"/>
        <v>0</v>
      </c>
      <c r="N22" s="42"/>
      <c r="O22" s="20">
        <f t="shared" ref="O22:O23" si="9">M22+N22</f>
        <v>0</v>
      </c>
      <c r="P22" s="33"/>
      <c r="Q22" s="25"/>
      <c r="R22" s="40"/>
      <c r="S22" s="26">
        <f t="shared" si="4"/>
        <v>0</v>
      </c>
      <c r="T22" s="42"/>
      <c r="U22" s="20">
        <f t="shared" ref="U22:U23" si="10">S22+T22</f>
        <v>0</v>
      </c>
      <c r="V22" s="33"/>
      <c r="W22" s="25"/>
      <c r="X22" s="40"/>
      <c r="Y22" s="26">
        <f t="shared" si="6"/>
        <v>0</v>
      </c>
      <c r="Z22" s="42"/>
      <c r="AA22" s="20">
        <f t="shared" ref="AA22:AA23" si="11">Y22+Z22</f>
        <v>0</v>
      </c>
      <c r="AB22" s="21" t="e">
        <f t="shared" si="8"/>
        <v>#DIV/0!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4"/>
        <v>0</v>
      </c>
      <c r="T23" s="49"/>
      <c r="U23" s="50">
        <f t="shared" si="10"/>
        <v>0</v>
      </c>
      <c r="V23" s="45"/>
      <c r="W23" s="46"/>
      <c r="X23" s="47"/>
      <c r="Y23" s="48">
        <f t="shared" si="6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2257.4</v>
      </c>
      <c r="E24" s="55">
        <f>SUM(E15:E21)</f>
        <v>21455.8</v>
      </c>
      <c r="F24" s="55">
        <f>SUM(F15:F21)</f>
        <v>928.19999999999993</v>
      </c>
      <c r="G24" s="56">
        <f>SUM(D24:F24)</f>
        <v>24641.4</v>
      </c>
      <c r="H24" s="57">
        <f>SUM(H15:H21)</f>
        <v>0</v>
      </c>
      <c r="I24" s="57">
        <f>SUM(I15:I21)</f>
        <v>24641.399999999998</v>
      </c>
      <c r="J24" s="54">
        <f>SUM(J15:J21)</f>
        <v>3452.4</v>
      </c>
      <c r="K24" s="55">
        <f>SUM(K15:K21)</f>
        <v>21290.2</v>
      </c>
      <c r="L24" s="55">
        <f>SUM(L15:L21)</f>
        <v>892</v>
      </c>
      <c r="M24" s="56">
        <f>SUM(J24:L24)</f>
        <v>25634.600000000002</v>
      </c>
      <c r="N24" s="57">
        <f>SUM(N15:N21)</f>
        <v>0</v>
      </c>
      <c r="O24" s="57">
        <f>SUM(O15:O21)</f>
        <v>25634.6</v>
      </c>
      <c r="P24" s="54">
        <f>SUM(P15:P21)</f>
        <v>1297.1000000000001</v>
      </c>
      <c r="Q24" s="55">
        <f>SUM(Q15:Q21)</f>
        <v>10807.5</v>
      </c>
      <c r="R24" s="55">
        <f>SUM(R15:R21)</f>
        <v>686</v>
      </c>
      <c r="S24" s="56">
        <f>SUM(P24:R24)</f>
        <v>12790.6</v>
      </c>
      <c r="T24" s="57">
        <f>SUM(T15:T21)</f>
        <v>0</v>
      </c>
      <c r="U24" s="57">
        <f>SUM(U15:U21)</f>
        <v>12790.599999999999</v>
      </c>
      <c r="V24" s="54">
        <f>SUM(V15:V21)</f>
        <v>3370</v>
      </c>
      <c r="W24" s="55">
        <f>SUM(W15:W21)</f>
        <v>21752</v>
      </c>
      <c r="X24" s="55">
        <f>SUM(X15:X21)</f>
        <v>1104.5</v>
      </c>
      <c r="Y24" s="56">
        <f>SUM(V24:X24)</f>
        <v>26226.5</v>
      </c>
      <c r="Z24" s="57">
        <f>SUM(Z15:Z21)</f>
        <v>0</v>
      </c>
      <c r="AA24" s="57">
        <f>SUM(AA15:AA21)</f>
        <v>26226.5</v>
      </c>
      <c r="AB24" s="58">
        <f t="shared" si="8"/>
        <v>1.0230898863255133</v>
      </c>
      <c r="AC24" s="3"/>
      <c r="AD24" s="3"/>
    </row>
    <row r="25" spans="1:30" ht="15.75" customHeight="1" thickBot="1" x14ac:dyDescent="0.3">
      <c r="A25" s="1"/>
      <c r="B25" s="59"/>
      <c r="C25" s="60"/>
      <c r="D25" s="885" t="s">
        <v>43</v>
      </c>
      <c r="E25" s="886"/>
      <c r="F25" s="886"/>
      <c r="G25" s="887"/>
      <c r="H25" s="887"/>
      <c r="I25" s="888"/>
      <c r="J25" s="885" t="s">
        <v>43</v>
      </c>
      <c r="K25" s="886"/>
      <c r="L25" s="886"/>
      <c r="M25" s="887"/>
      <c r="N25" s="887"/>
      <c r="O25" s="888"/>
      <c r="P25" s="885" t="s">
        <v>43</v>
      </c>
      <c r="Q25" s="886"/>
      <c r="R25" s="886"/>
      <c r="S25" s="887"/>
      <c r="T25" s="887"/>
      <c r="U25" s="888"/>
      <c r="V25" s="885" t="s">
        <v>43</v>
      </c>
      <c r="W25" s="886"/>
      <c r="X25" s="886"/>
      <c r="Y25" s="887"/>
      <c r="Z25" s="887"/>
      <c r="AA25" s="888"/>
      <c r="AB25" s="893" t="s">
        <v>12</v>
      </c>
      <c r="AC25" s="3"/>
      <c r="AD25" s="3"/>
    </row>
    <row r="26" spans="1:30" ht="15.75" thickBot="1" x14ac:dyDescent="0.3">
      <c r="A26" s="1"/>
      <c r="B26" s="932" t="s">
        <v>6</v>
      </c>
      <c r="C26" s="917" t="s">
        <v>7</v>
      </c>
      <c r="D26" s="896" t="s">
        <v>44</v>
      </c>
      <c r="E26" s="897"/>
      <c r="F26" s="897"/>
      <c r="G26" s="913" t="s">
        <v>45</v>
      </c>
      <c r="H26" s="915" t="s">
        <v>46</v>
      </c>
      <c r="I26" s="898" t="s">
        <v>43</v>
      </c>
      <c r="J26" s="896" t="s">
        <v>44</v>
      </c>
      <c r="K26" s="897"/>
      <c r="L26" s="897"/>
      <c r="M26" s="913" t="s">
        <v>45</v>
      </c>
      <c r="N26" s="915" t="s">
        <v>46</v>
      </c>
      <c r="O26" s="898" t="s">
        <v>43</v>
      </c>
      <c r="P26" s="896" t="s">
        <v>44</v>
      </c>
      <c r="Q26" s="897"/>
      <c r="R26" s="897"/>
      <c r="S26" s="913" t="s">
        <v>45</v>
      </c>
      <c r="T26" s="915" t="s">
        <v>46</v>
      </c>
      <c r="U26" s="898" t="s">
        <v>43</v>
      </c>
      <c r="V26" s="896" t="s">
        <v>44</v>
      </c>
      <c r="W26" s="897"/>
      <c r="X26" s="897"/>
      <c r="Y26" s="913" t="s">
        <v>45</v>
      </c>
      <c r="Z26" s="915" t="s">
        <v>46</v>
      </c>
      <c r="AA26" s="898" t="s">
        <v>43</v>
      </c>
      <c r="AB26" s="894"/>
      <c r="AC26" s="3"/>
      <c r="AD26" s="3"/>
    </row>
    <row r="27" spans="1:30" ht="15.75" thickBot="1" x14ac:dyDescent="0.3">
      <c r="A27" s="1"/>
      <c r="B27" s="933"/>
      <c r="C27" s="918"/>
      <c r="D27" s="61" t="s">
        <v>47</v>
      </c>
      <c r="E27" s="62" t="s">
        <v>48</v>
      </c>
      <c r="F27" s="63" t="s">
        <v>49</v>
      </c>
      <c r="G27" s="914"/>
      <c r="H27" s="916"/>
      <c r="I27" s="899"/>
      <c r="J27" s="61" t="s">
        <v>47</v>
      </c>
      <c r="K27" s="62" t="s">
        <v>48</v>
      </c>
      <c r="L27" s="63" t="s">
        <v>49</v>
      </c>
      <c r="M27" s="914"/>
      <c r="N27" s="916"/>
      <c r="O27" s="899"/>
      <c r="P27" s="61" t="s">
        <v>47</v>
      </c>
      <c r="Q27" s="62" t="s">
        <v>48</v>
      </c>
      <c r="R27" s="63" t="s">
        <v>49</v>
      </c>
      <c r="S27" s="914"/>
      <c r="T27" s="916"/>
      <c r="U27" s="899"/>
      <c r="V27" s="61" t="s">
        <v>47</v>
      </c>
      <c r="W27" s="62" t="s">
        <v>48</v>
      </c>
      <c r="X27" s="63" t="s">
        <v>49</v>
      </c>
      <c r="Y27" s="914"/>
      <c r="Z27" s="916"/>
      <c r="AA27" s="899"/>
      <c r="AB27" s="895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122.2</v>
      </c>
      <c r="E28" s="65"/>
      <c r="F28" s="65">
        <v>1.6</v>
      </c>
      <c r="G28" s="66">
        <f>SUM(D28:F28)</f>
        <v>123.8</v>
      </c>
      <c r="H28" s="66"/>
      <c r="I28" s="67">
        <f>G28+H28</f>
        <v>123.8</v>
      </c>
      <c r="J28" s="68">
        <v>128</v>
      </c>
      <c r="K28" s="65"/>
      <c r="L28" s="65"/>
      <c r="M28" s="66">
        <f>SUM(J28:L28)</f>
        <v>128</v>
      </c>
      <c r="N28" s="66"/>
      <c r="O28" s="67">
        <f>M28+N28</f>
        <v>128</v>
      </c>
      <c r="P28" s="68">
        <v>20.3</v>
      </c>
      <c r="Q28" s="65"/>
      <c r="R28" s="65"/>
      <c r="S28" s="66">
        <f>SUM(P28:R28)</f>
        <v>20.3</v>
      </c>
      <c r="T28" s="66"/>
      <c r="U28" s="67">
        <f>S28+T28</f>
        <v>20.3</v>
      </c>
      <c r="V28" s="68">
        <v>505.7</v>
      </c>
      <c r="W28" s="65"/>
      <c r="X28" s="65"/>
      <c r="Y28" s="66">
        <f>SUM(V28:X28)</f>
        <v>505.7</v>
      </c>
      <c r="Z28" s="66"/>
      <c r="AA28" s="67">
        <f>Y28+Z28</f>
        <v>505.7</v>
      </c>
      <c r="AB28" s="21">
        <f t="shared" ref="AB28:AB41" si="12">(AA28/O28)</f>
        <v>3.9507812499999999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213.1</v>
      </c>
      <c r="E29" s="70">
        <v>11.2</v>
      </c>
      <c r="F29" s="70">
        <v>690.1</v>
      </c>
      <c r="G29" s="71">
        <f t="shared" ref="G29:G38" si="13">SUM(D29:F29)</f>
        <v>914.4</v>
      </c>
      <c r="H29" s="72"/>
      <c r="I29" s="20">
        <f t="shared" ref="I29:I38" si="14">G29+H29</f>
        <v>914.4</v>
      </c>
      <c r="J29" s="73">
        <v>351.3</v>
      </c>
      <c r="K29" s="70">
        <v>88.7</v>
      </c>
      <c r="L29" s="70">
        <v>696</v>
      </c>
      <c r="M29" s="71">
        <f t="shared" ref="M29:M38" si="15">SUM(J29:L29)</f>
        <v>1136</v>
      </c>
      <c r="N29" s="72"/>
      <c r="O29" s="20">
        <f t="shared" ref="O29:O38" si="16">M29+N29</f>
        <v>1136</v>
      </c>
      <c r="P29" s="73">
        <v>132.69999999999999</v>
      </c>
      <c r="Q29" s="70"/>
      <c r="R29" s="70">
        <v>503</v>
      </c>
      <c r="S29" s="71">
        <f t="shared" ref="S29:S38" si="17">SUM(P29:R29)</f>
        <v>635.70000000000005</v>
      </c>
      <c r="T29" s="72"/>
      <c r="U29" s="20">
        <f t="shared" ref="U29:U38" si="18">S29+T29</f>
        <v>635.70000000000005</v>
      </c>
      <c r="V29" s="73">
        <v>418</v>
      </c>
      <c r="W29" s="70"/>
      <c r="X29" s="70">
        <v>848</v>
      </c>
      <c r="Y29" s="71">
        <f t="shared" ref="Y29:Y38" si="19">SUM(V29:X29)</f>
        <v>1266</v>
      </c>
      <c r="Z29" s="72"/>
      <c r="AA29" s="20">
        <f t="shared" ref="AA29:AA38" si="20">Y29+Z29</f>
        <v>1266</v>
      </c>
      <c r="AB29" s="21">
        <f t="shared" si="12"/>
        <v>1.1144366197183098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828</v>
      </c>
      <c r="E30" s="74"/>
      <c r="F30" s="74" t="s">
        <v>132</v>
      </c>
      <c r="G30" s="71">
        <f t="shared" si="13"/>
        <v>828</v>
      </c>
      <c r="H30" s="71"/>
      <c r="I30" s="20">
        <f t="shared" si="14"/>
        <v>828</v>
      </c>
      <c r="J30" s="75">
        <v>1975.2</v>
      </c>
      <c r="K30" s="74"/>
      <c r="L30" s="74"/>
      <c r="M30" s="71">
        <f t="shared" si="15"/>
        <v>1975.2</v>
      </c>
      <c r="N30" s="71"/>
      <c r="O30" s="20">
        <f t="shared" si="16"/>
        <v>1975.2</v>
      </c>
      <c r="P30" s="75">
        <v>560.4</v>
      </c>
      <c r="Q30" s="74"/>
      <c r="R30" s="74"/>
      <c r="S30" s="71">
        <f t="shared" si="17"/>
        <v>560.4</v>
      </c>
      <c r="T30" s="71"/>
      <c r="U30" s="20">
        <f t="shared" si="18"/>
        <v>560.4</v>
      </c>
      <c r="V30" s="75">
        <v>1275</v>
      </c>
      <c r="W30" s="74"/>
      <c r="X30" s="74"/>
      <c r="Y30" s="71">
        <f t="shared" si="19"/>
        <v>1275</v>
      </c>
      <c r="Z30" s="71"/>
      <c r="AA30" s="20">
        <f t="shared" si="20"/>
        <v>1275</v>
      </c>
      <c r="AB30" s="21">
        <f t="shared" si="12"/>
        <v>0.64550425273390033</v>
      </c>
      <c r="AC30" s="3"/>
      <c r="AD30" s="3"/>
    </row>
    <row r="31" spans="1:30" x14ac:dyDescent="0.25">
      <c r="A31" s="1"/>
      <c r="B31" s="22" t="s">
        <v>56</v>
      </c>
      <c r="C31" s="41" t="s">
        <v>57</v>
      </c>
      <c r="D31" s="74">
        <v>408.9</v>
      </c>
      <c r="E31" s="74">
        <v>30.4</v>
      </c>
      <c r="F31" s="74">
        <v>24.3</v>
      </c>
      <c r="G31" s="71">
        <f t="shared" si="13"/>
        <v>463.59999999999997</v>
      </c>
      <c r="H31" s="71"/>
      <c r="I31" s="20">
        <f t="shared" si="14"/>
        <v>463.59999999999997</v>
      </c>
      <c r="J31" s="75">
        <v>376</v>
      </c>
      <c r="K31" s="74">
        <v>45</v>
      </c>
      <c r="L31" s="74">
        <v>50.8</v>
      </c>
      <c r="M31" s="71">
        <f t="shared" si="15"/>
        <v>471.8</v>
      </c>
      <c r="N31" s="71"/>
      <c r="O31" s="20">
        <f t="shared" si="16"/>
        <v>471.8</v>
      </c>
      <c r="P31" s="75">
        <v>224</v>
      </c>
      <c r="Q31" s="74">
        <v>76.599999999999994</v>
      </c>
      <c r="R31" s="74">
        <v>24.5</v>
      </c>
      <c r="S31" s="71">
        <f t="shared" si="17"/>
        <v>325.10000000000002</v>
      </c>
      <c r="T31" s="71"/>
      <c r="U31" s="20">
        <f t="shared" si="18"/>
        <v>325.10000000000002</v>
      </c>
      <c r="V31" s="75">
        <v>409</v>
      </c>
      <c r="W31" s="74"/>
      <c r="X31" s="74">
        <v>65.8</v>
      </c>
      <c r="Y31" s="71">
        <f t="shared" si="19"/>
        <v>474.8</v>
      </c>
      <c r="Z31" s="71"/>
      <c r="AA31" s="20">
        <f t="shared" si="20"/>
        <v>474.8</v>
      </c>
      <c r="AB31" s="21">
        <f t="shared" si="12"/>
        <v>1.0063586265366682</v>
      </c>
      <c r="AC31" s="3"/>
      <c r="AD31" s="3"/>
    </row>
    <row r="32" spans="1:30" x14ac:dyDescent="0.25">
      <c r="A32" s="1"/>
      <c r="B32" s="22" t="s">
        <v>58</v>
      </c>
      <c r="C32" s="41" t="s">
        <v>59</v>
      </c>
      <c r="D32" s="76">
        <v>27.3</v>
      </c>
      <c r="E32" s="74">
        <v>16078.3</v>
      </c>
      <c r="F32" s="74">
        <v>31.3</v>
      </c>
      <c r="G32" s="71">
        <f t="shared" si="13"/>
        <v>16136.899999999998</v>
      </c>
      <c r="H32" s="71"/>
      <c r="I32" s="20">
        <f t="shared" si="14"/>
        <v>16136.899999999998</v>
      </c>
      <c r="J32" s="77">
        <v>7.7</v>
      </c>
      <c r="K32" s="74">
        <v>15844.9</v>
      </c>
      <c r="L32" s="74">
        <v>37</v>
      </c>
      <c r="M32" s="71">
        <f t="shared" si="15"/>
        <v>15889.6</v>
      </c>
      <c r="N32" s="71"/>
      <c r="O32" s="20">
        <f t="shared" si="16"/>
        <v>15889.6</v>
      </c>
      <c r="P32" s="77">
        <v>7.5</v>
      </c>
      <c r="Q32" s="74">
        <v>8023.3</v>
      </c>
      <c r="R32" s="74">
        <v>19</v>
      </c>
      <c r="S32" s="71">
        <f t="shared" si="17"/>
        <v>8049.8</v>
      </c>
      <c r="T32" s="71"/>
      <c r="U32" s="20">
        <f t="shared" si="18"/>
        <v>8049.8</v>
      </c>
      <c r="V32" s="77">
        <v>20.6</v>
      </c>
      <c r="W32" s="74">
        <v>16078.4</v>
      </c>
      <c r="X32" s="74">
        <v>40</v>
      </c>
      <c r="Y32" s="71">
        <f t="shared" si="19"/>
        <v>16139</v>
      </c>
      <c r="Z32" s="71"/>
      <c r="AA32" s="20">
        <f t="shared" si="20"/>
        <v>16139</v>
      </c>
      <c r="AB32" s="21">
        <f t="shared" si="12"/>
        <v>1.0156958010270869</v>
      </c>
      <c r="AC32" s="3"/>
      <c r="AD32" s="3"/>
    </row>
    <row r="33" spans="1:30" x14ac:dyDescent="0.25">
      <c r="A33" s="1"/>
      <c r="B33" s="22" t="s">
        <v>60</v>
      </c>
      <c r="C33" s="35" t="s">
        <v>61</v>
      </c>
      <c r="D33" s="76">
        <v>26.7</v>
      </c>
      <c r="E33" s="74">
        <v>15514.8</v>
      </c>
      <c r="F33" s="74">
        <v>31.3</v>
      </c>
      <c r="G33" s="71">
        <f t="shared" si="13"/>
        <v>15572.8</v>
      </c>
      <c r="H33" s="71"/>
      <c r="I33" s="20">
        <f t="shared" si="14"/>
        <v>15572.8</v>
      </c>
      <c r="J33" s="77">
        <v>7.5</v>
      </c>
      <c r="K33" s="74">
        <v>15474.8</v>
      </c>
      <c r="L33" s="74">
        <v>37</v>
      </c>
      <c r="M33" s="71">
        <f t="shared" si="15"/>
        <v>15519.3</v>
      </c>
      <c r="N33" s="71"/>
      <c r="O33" s="20">
        <f t="shared" si="16"/>
        <v>15519.3</v>
      </c>
      <c r="P33" s="77">
        <v>7.5</v>
      </c>
      <c r="Q33" s="74">
        <v>7792.1</v>
      </c>
      <c r="R33" s="74">
        <v>19</v>
      </c>
      <c r="S33" s="71">
        <f t="shared" si="17"/>
        <v>7818.6</v>
      </c>
      <c r="T33" s="71"/>
      <c r="U33" s="20">
        <f t="shared" si="18"/>
        <v>7818.6</v>
      </c>
      <c r="V33" s="77">
        <v>20.6</v>
      </c>
      <c r="W33" s="74">
        <v>15841.4</v>
      </c>
      <c r="X33" s="74">
        <v>40</v>
      </c>
      <c r="Y33" s="71">
        <f t="shared" si="19"/>
        <v>15902</v>
      </c>
      <c r="Z33" s="71"/>
      <c r="AA33" s="20">
        <f t="shared" si="20"/>
        <v>15902</v>
      </c>
      <c r="AB33" s="21">
        <f t="shared" si="12"/>
        <v>1.0246596173796498</v>
      </c>
      <c r="AC33" s="3"/>
      <c r="AD33" s="3"/>
    </row>
    <row r="34" spans="1:30" x14ac:dyDescent="0.25">
      <c r="A34" s="1"/>
      <c r="B34" s="22" t="s">
        <v>62</v>
      </c>
      <c r="C34" s="78" t="s">
        <v>63</v>
      </c>
      <c r="D34" s="76">
        <v>0.6</v>
      </c>
      <c r="E34" s="74">
        <v>563.5</v>
      </c>
      <c r="F34" s="74"/>
      <c r="G34" s="71">
        <f t="shared" si="13"/>
        <v>564.1</v>
      </c>
      <c r="H34" s="71"/>
      <c r="I34" s="20">
        <f t="shared" si="14"/>
        <v>564.1</v>
      </c>
      <c r="J34" s="77">
        <v>0.2</v>
      </c>
      <c r="K34" s="74">
        <v>370.1</v>
      </c>
      <c r="L34" s="74"/>
      <c r="M34" s="71">
        <f>SUM(J34:L34)</f>
        <v>370.3</v>
      </c>
      <c r="N34" s="71"/>
      <c r="O34" s="20">
        <f t="shared" si="16"/>
        <v>370.3</v>
      </c>
      <c r="P34" s="77" t="s">
        <v>132</v>
      </c>
      <c r="Q34" s="74">
        <v>231.2</v>
      </c>
      <c r="R34" s="74"/>
      <c r="S34" s="71">
        <f t="shared" si="17"/>
        <v>231.2</v>
      </c>
      <c r="T34" s="71"/>
      <c r="U34" s="20">
        <f t="shared" si="18"/>
        <v>231.2</v>
      </c>
      <c r="V34" s="77" t="s">
        <v>132</v>
      </c>
      <c r="W34" s="74">
        <v>237</v>
      </c>
      <c r="X34" s="74"/>
      <c r="Y34" s="71">
        <f t="shared" si="19"/>
        <v>237</v>
      </c>
      <c r="Z34" s="71"/>
      <c r="AA34" s="20">
        <f t="shared" si="20"/>
        <v>237</v>
      </c>
      <c r="AB34" s="21">
        <f t="shared" si="12"/>
        <v>0.64002160410477993</v>
      </c>
      <c r="AC34" s="3"/>
      <c r="AD34" s="3"/>
    </row>
    <row r="35" spans="1:30" x14ac:dyDescent="0.25">
      <c r="A35" s="1"/>
      <c r="B35" s="22" t="s">
        <v>64</v>
      </c>
      <c r="C35" s="41" t="s">
        <v>65</v>
      </c>
      <c r="D35" s="76">
        <v>8.3000000000000007</v>
      </c>
      <c r="E35" s="74">
        <v>5200.1000000000004</v>
      </c>
      <c r="F35" s="74"/>
      <c r="G35" s="71">
        <f t="shared" si="13"/>
        <v>5208.4000000000005</v>
      </c>
      <c r="H35" s="71"/>
      <c r="I35" s="20">
        <f t="shared" si="14"/>
        <v>5208.4000000000005</v>
      </c>
      <c r="J35" s="77">
        <v>2.5</v>
      </c>
      <c r="K35" s="74">
        <v>5196.6000000000004</v>
      </c>
      <c r="L35" s="74"/>
      <c r="M35" s="71">
        <f t="shared" si="15"/>
        <v>5199.1000000000004</v>
      </c>
      <c r="N35" s="71"/>
      <c r="O35" s="20">
        <f t="shared" si="16"/>
        <v>5199.1000000000004</v>
      </c>
      <c r="P35" s="77">
        <v>2.5</v>
      </c>
      <c r="Q35" s="74">
        <v>2551</v>
      </c>
      <c r="R35" s="74"/>
      <c r="S35" s="71">
        <f t="shared" si="17"/>
        <v>2553.5</v>
      </c>
      <c r="T35" s="71"/>
      <c r="U35" s="20">
        <f t="shared" si="18"/>
        <v>2553.5</v>
      </c>
      <c r="V35" s="77">
        <v>7.4</v>
      </c>
      <c r="W35" s="74">
        <v>5354.4</v>
      </c>
      <c r="X35" s="74"/>
      <c r="Y35" s="71">
        <f t="shared" si="19"/>
        <v>5361.7999999999993</v>
      </c>
      <c r="Z35" s="71"/>
      <c r="AA35" s="20">
        <f t="shared" si="20"/>
        <v>5361.7999999999993</v>
      </c>
      <c r="AB35" s="21">
        <f t="shared" si="12"/>
        <v>1.0312938777865397</v>
      </c>
      <c r="AC35" s="3"/>
      <c r="AD35" s="3"/>
    </row>
    <row r="36" spans="1:30" x14ac:dyDescent="0.25">
      <c r="A36" s="1"/>
      <c r="B36" s="22" t="s">
        <v>66</v>
      </c>
      <c r="C36" s="41" t="s">
        <v>67</v>
      </c>
      <c r="D36" s="74" t="s">
        <v>132</v>
      </c>
      <c r="E36" s="74"/>
      <c r="F36" s="74"/>
      <c r="G36" s="71">
        <f t="shared" si="13"/>
        <v>0</v>
      </c>
      <c r="H36" s="71"/>
      <c r="I36" s="20">
        <f t="shared" si="14"/>
        <v>0</v>
      </c>
      <c r="J36" s="75"/>
      <c r="K36" s="74"/>
      <c r="L36" s="74"/>
      <c r="M36" s="71">
        <f t="shared" si="15"/>
        <v>0</v>
      </c>
      <c r="N36" s="71"/>
      <c r="O36" s="20">
        <f t="shared" si="16"/>
        <v>0</v>
      </c>
      <c r="P36" s="75"/>
      <c r="Q36" s="74"/>
      <c r="R36" s="74"/>
      <c r="S36" s="71">
        <f t="shared" si="17"/>
        <v>0</v>
      </c>
      <c r="T36" s="71"/>
      <c r="U36" s="20">
        <f t="shared" si="18"/>
        <v>0</v>
      </c>
      <c r="V36" s="75"/>
      <c r="W36" s="74"/>
      <c r="X36" s="74"/>
      <c r="Y36" s="71">
        <f t="shared" si="19"/>
        <v>0</v>
      </c>
      <c r="Z36" s="71"/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68</v>
      </c>
      <c r="C37" s="41" t="s">
        <v>69</v>
      </c>
      <c r="D37" s="74">
        <v>402.6</v>
      </c>
      <c r="E37" s="74"/>
      <c r="F37" s="74"/>
      <c r="G37" s="71">
        <f t="shared" si="13"/>
        <v>402.6</v>
      </c>
      <c r="H37" s="71"/>
      <c r="I37" s="20">
        <f t="shared" si="14"/>
        <v>402.6</v>
      </c>
      <c r="J37" s="75">
        <v>409.4</v>
      </c>
      <c r="K37" s="74"/>
      <c r="L37" s="74"/>
      <c r="M37" s="71">
        <f t="shared" si="15"/>
        <v>409.4</v>
      </c>
      <c r="N37" s="71"/>
      <c r="O37" s="20">
        <f t="shared" si="16"/>
        <v>409.4</v>
      </c>
      <c r="P37" s="75">
        <v>218.8</v>
      </c>
      <c r="Q37" s="74"/>
      <c r="R37" s="74"/>
      <c r="S37" s="71">
        <f t="shared" si="17"/>
        <v>218.8</v>
      </c>
      <c r="T37" s="71"/>
      <c r="U37" s="20">
        <f t="shared" si="18"/>
        <v>218.8</v>
      </c>
      <c r="V37" s="75">
        <v>457.2</v>
      </c>
      <c r="W37" s="74"/>
      <c r="X37" s="74"/>
      <c r="Y37" s="71">
        <f t="shared" si="19"/>
        <v>457.2</v>
      </c>
      <c r="Z37" s="71"/>
      <c r="AA37" s="20">
        <f t="shared" si="20"/>
        <v>457.2</v>
      </c>
      <c r="AB37" s="21">
        <f t="shared" si="12"/>
        <v>1.1167562286272594</v>
      </c>
      <c r="AC37" s="3"/>
      <c r="AD37" s="3"/>
    </row>
    <row r="38" spans="1:30" ht="15.75" thickBot="1" x14ac:dyDescent="0.3">
      <c r="A38" s="1"/>
      <c r="B38" s="79" t="s">
        <v>70</v>
      </c>
      <c r="C38" s="80" t="s">
        <v>71</v>
      </c>
      <c r="D38" s="81">
        <v>236.4</v>
      </c>
      <c r="E38" s="81">
        <v>135.80000000000001</v>
      </c>
      <c r="F38" s="81">
        <v>180.9</v>
      </c>
      <c r="G38" s="71">
        <f t="shared" si="13"/>
        <v>553.1</v>
      </c>
      <c r="H38" s="82"/>
      <c r="I38" s="50">
        <f t="shared" si="14"/>
        <v>553.1</v>
      </c>
      <c r="J38" s="83">
        <v>202.3</v>
      </c>
      <c r="K38" s="81">
        <v>115</v>
      </c>
      <c r="L38" s="81">
        <v>108.2</v>
      </c>
      <c r="M38" s="82">
        <f t="shared" si="15"/>
        <v>425.5</v>
      </c>
      <c r="N38" s="82"/>
      <c r="O38" s="50">
        <f t="shared" si="16"/>
        <v>425.5</v>
      </c>
      <c r="P38" s="83">
        <v>34</v>
      </c>
      <c r="Q38" s="81">
        <v>156.6</v>
      </c>
      <c r="R38" s="81">
        <v>39.4</v>
      </c>
      <c r="S38" s="82">
        <f t="shared" si="17"/>
        <v>230</v>
      </c>
      <c r="T38" s="82"/>
      <c r="U38" s="50">
        <f t="shared" si="18"/>
        <v>230</v>
      </c>
      <c r="V38" s="83">
        <v>277.10000000000002</v>
      </c>
      <c r="W38" s="81">
        <v>319.2</v>
      </c>
      <c r="X38" s="81">
        <v>150.69999999999999</v>
      </c>
      <c r="Y38" s="82">
        <f t="shared" si="19"/>
        <v>747</v>
      </c>
      <c r="Z38" s="82"/>
      <c r="AA38" s="50">
        <f t="shared" si="20"/>
        <v>747</v>
      </c>
      <c r="AB38" s="51">
        <f t="shared" si="12"/>
        <v>1.7555816686251469</v>
      </c>
      <c r="AC38" s="3"/>
      <c r="AD38" s="3"/>
    </row>
    <row r="39" spans="1:30" ht="15.75" thickBot="1" x14ac:dyDescent="0.3">
      <c r="A39" s="1"/>
      <c r="B39" s="52" t="s">
        <v>72</v>
      </c>
      <c r="C39" s="84" t="s">
        <v>73</v>
      </c>
      <c r="D39" s="85">
        <f>SUM(D35:D38)+SUM(D28:D32)</f>
        <v>2246.7999999999997</v>
      </c>
      <c r="E39" s="85">
        <f>SUM(E35:E38)+SUM(E28:E32)</f>
        <v>21455.8</v>
      </c>
      <c r="F39" s="85">
        <f>SUM(F35:F38)+SUM(F28:F32)</f>
        <v>928.19999999999993</v>
      </c>
      <c r="G39" s="86">
        <f>SUM(D39:F39)</f>
        <v>24630.799999999999</v>
      </c>
      <c r="H39" s="87">
        <f>SUM(H28:H32)+SUM(H35:H38)</f>
        <v>0</v>
      </c>
      <c r="I39" s="88">
        <f>SUM(I35:I38)+SUM(I28:I32)</f>
        <v>24630.799999999999</v>
      </c>
      <c r="J39" s="85">
        <f>SUM(J35:J38)+SUM(J28:J32)</f>
        <v>3452.3999999999996</v>
      </c>
      <c r="K39" s="85">
        <f>SUM(K35:K38)+SUM(K28:K32)</f>
        <v>21290.2</v>
      </c>
      <c r="L39" s="85">
        <f>SUM(L35:L38)+SUM(L28:L32)</f>
        <v>892</v>
      </c>
      <c r="M39" s="86">
        <f>SUM(J39:L39)</f>
        <v>25634.6</v>
      </c>
      <c r="N39" s="87">
        <f>SUM(N28:N32)+SUM(N35:N38)</f>
        <v>0</v>
      </c>
      <c r="O39" s="88">
        <f>SUM(O35:O38)+SUM(O28:O32)</f>
        <v>25634.6</v>
      </c>
      <c r="P39" s="85">
        <f>SUM(P35:P38)+SUM(P28:P32)</f>
        <v>1200.2</v>
      </c>
      <c r="Q39" s="85">
        <f>SUM(Q35:Q38)+SUM(Q28:Q32)</f>
        <v>10807.5</v>
      </c>
      <c r="R39" s="85">
        <f>SUM(R35:R38)+SUM(R28:R32)</f>
        <v>585.9</v>
      </c>
      <c r="S39" s="86">
        <f>SUM(P39:R39)</f>
        <v>12593.6</v>
      </c>
      <c r="T39" s="87">
        <f>SUM(T28:T32)+SUM(T35:T38)</f>
        <v>0</v>
      </c>
      <c r="U39" s="88">
        <f>SUM(U35:U38)+SUM(U28:U32)</f>
        <v>12593.599999999999</v>
      </c>
      <c r="V39" s="85">
        <f>SUM(V35:V38)+SUM(V28:V32)</f>
        <v>3370</v>
      </c>
      <c r="W39" s="85">
        <f>SUM(W35:W38)+SUM(W28:W32)</f>
        <v>21752</v>
      </c>
      <c r="X39" s="85">
        <f>SUM(X35:X38)+SUM(X28:X32)</f>
        <v>1104.5</v>
      </c>
      <c r="Y39" s="86">
        <f>SUM(V39:X39)</f>
        <v>26226.5</v>
      </c>
      <c r="Z39" s="87">
        <f>SUM(Z28:Z32)+SUM(Z35:Z38)</f>
        <v>0</v>
      </c>
      <c r="AA39" s="88">
        <f>SUM(AA35:AA38)+SUM(AA28:AA32)</f>
        <v>26226.5</v>
      </c>
      <c r="AB39" s="89">
        <f t="shared" si="12"/>
        <v>1.0230898863255133</v>
      </c>
      <c r="AC39" s="3"/>
      <c r="AD39" s="3"/>
    </row>
    <row r="40" spans="1:30" ht="19.5" thickBot="1" x14ac:dyDescent="0.35">
      <c r="A40" s="1"/>
      <c r="B40" s="90" t="s">
        <v>74</v>
      </c>
      <c r="C40" s="91" t="s">
        <v>75</v>
      </c>
      <c r="D40" s="92">
        <f t="shared" ref="D40:AA40" si="21">D24-D39</f>
        <v>10.600000000000364</v>
      </c>
      <c r="E40" s="92">
        <f t="shared" si="21"/>
        <v>0</v>
      </c>
      <c r="F40" s="92">
        <f t="shared" si="21"/>
        <v>0</v>
      </c>
      <c r="G40" s="93">
        <f t="shared" si="21"/>
        <v>10.600000000002183</v>
      </c>
      <c r="H40" s="93">
        <f t="shared" si="21"/>
        <v>0</v>
      </c>
      <c r="I40" s="94">
        <f t="shared" si="21"/>
        <v>10.599999999998545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96.900000000000091</v>
      </c>
      <c r="Q40" s="92">
        <f t="shared" si="21"/>
        <v>0</v>
      </c>
      <c r="R40" s="92">
        <f t="shared" si="21"/>
        <v>100.10000000000002</v>
      </c>
      <c r="S40" s="93">
        <f t="shared" si="21"/>
        <v>197</v>
      </c>
      <c r="T40" s="93">
        <f t="shared" si="21"/>
        <v>0</v>
      </c>
      <c r="U40" s="94">
        <f t="shared" si="21"/>
        <v>197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76</v>
      </c>
      <c r="C41" s="97" t="s">
        <v>77</v>
      </c>
      <c r="D41" s="98"/>
      <c r="E41" s="99"/>
      <c r="F41" s="99"/>
      <c r="G41" s="100"/>
      <c r="H41" s="101"/>
      <c r="I41" s="102">
        <f>I40-D16</f>
        <v>-2169.9000000000015</v>
      </c>
      <c r="J41" s="98"/>
      <c r="K41" s="99"/>
      <c r="L41" s="99"/>
      <c r="M41" s="100"/>
      <c r="N41" s="103"/>
      <c r="O41" s="102">
        <f>O40-J16</f>
        <v>-2375</v>
      </c>
      <c r="P41" s="98"/>
      <c r="Q41" s="99"/>
      <c r="R41" s="99"/>
      <c r="S41" s="100"/>
      <c r="T41" s="103"/>
      <c r="U41" s="102">
        <f>U40-P16</f>
        <v>-992.90000000000009</v>
      </c>
      <c r="V41" s="98"/>
      <c r="W41" s="99"/>
      <c r="X41" s="99"/>
      <c r="Y41" s="100"/>
      <c r="Z41" s="103"/>
      <c r="AA41" s="102">
        <f>AA40-V16</f>
        <v>-3245</v>
      </c>
      <c r="AB41" s="21">
        <f t="shared" si="12"/>
        <v>1.3663157894736842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928" t="s">
        <v>78</v>
      </c>
      <c r="D43" s="112" t="s">
        <v>79</v>
      </c>
      <c r="E43" s="113" t="s">
        <v>80</v>
      </c>
      <c r="F43" s="114" t="s">
        <v>81</v>
      </c>
      <c r="G43" s="108"/>
      <c r="H43" s="108"/>
      <c r="I43" s="115"/>
      <c r="J43" s="112" t="s">
        <v>79</v>
      </c>
      <c r="K43" s="113" t="s">
        <v>80</v>
      </c>
      <c r="L43" s="114" t="s">
        <v>81</v>
      </c>
      <c r="M43" s="108"/>
      <c r="N43" s="108"/>
      <c r="O43" s="108"/>
      <c r="P43" s="112" t="s">
        <v>79</v>
      </c>
      <c r="Q43" s="113" t="s">
        <v>80</v>
      </c>
      <c r="R43" s="114" t="s">
        <v>81</v>
      </c>
      <c r="S43" s="109"/>
      <c r="T43" s="109"/>
      <c r="U43" s="109"/>
      <c r="V43" s="112" t="s">
        <v>79</v>
      </c>
      <c r="W43" s="113" t="s">
        <v>80</v>
      </c>
      <c r="X43" s="114" t="s">
        <v>81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929"/>
      <c r="D44" s="116">
        <v>267.39999999999998</v>
      </c>
      <c r="E44" s="117">
        <v>267.39999999999998</v>
      </c>
      <c r="F44" s="118">
        <v>0</v>
      </c>
      <c r="G44" s="108"/>
      <c r="H44" s="108"/>
      <c r="I44" s="115"/>
      <c r="J44" s="116">
        <v>267.39999999999998</v>
      </c>
      <c r="K44" s="117">
        <v>267.39999999999998</v>
      </c>
      <c r="L44" s="118">
        <v>0</v>
      </c>
      <c r="M44" s="119"/>
      <c r="N44" s="119"/>
      <c r="O44" s="119"/>
      <c r="P44" s="116">
        <v>133</v>
      </c>
      <c r="Q44" s="117">
        <v>133</v>
      </c>
      <c r="R44" s="118">
        <v>0</v>
      </c>
      <c r="S44" s="3"/>
      <c r="T44" s="3"/>
      <c r="U44" s="3"/>
      <c r="V44" s="116">
        <v>267.39999999999998</v>
      </c>
      <c r="W44" s="117">
        <v>267.39999999999998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928" t="s">
        <v>82</v>
      </c>
      <c r="D46" s="120" t="s">
        <v>83</v>
      </c>
      <c r="E46" s="121" t="s">
        <v>84</v>
      </c>
      <c r="F46" s="108"/>
      <c r="G46" s="108"/>
      <c r="H46" s="108"/>
      <c r="I46" s="115"/>
      <c r="J46" s="120" t="s">
        <v>83</v>
      </c>
      <c r="K46" s="121" t="s">
        <v>84</v>
      </c>
      <c r="L46" s="122"/>
      <c r="M46" s="122"/>
      <c r="N46" s="109"/>
      <c r="O46" s="109"/>
      <c r="P46" s="120" t="s">
        <v>83</v>
      </c>
      <c r="Q46" s="121" t="s">
        <v>84</v>
      </c>
      <c r="R46" s="109"/>
      <c r="S46" s="109"/>
      <c r="T46" s="109"/>
      <c r="U46" s="109"/>
      <c r="V46" s="120" t="s">
        <v>83</v>
      </c>
      <c r="W46" s="121" t="s">
        <v>84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930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383.9</v>
      </c>
      <c r="Q47" s="124">
        <v>150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85</v>
      </c>
      <c r="D49" s="127" t="s">
        <v>86</v>
      </c>
      <c r="E49" s="127" t="s">
        <v>87</v>
      </c>
      <c r="F49" s="127" t="s">
        <v>88</v>
      </c>
      <c r="G49" s="127" t="s">
        <v>89</v>
      </c>
      <c r="H49" s="108"/>
      <c r="I49" s="3"/>
      <c r="J49" s="127" t="s">
        <v>86</v>
      </c>
      <c r="K49" s="127" t="s">
        <v>87</v>
      </c>
      <c r="L49" s="127" t="s">
        <v>88</v>
      </c>
      <c r="M49" s="127" t="s">
        <v>90</v>
      </c>
      <c r="N49" s="3"/>
      <c r="O49" s="3"/>
      <c r="P49" s="127" t="s">
        <v>86</v>
      </c>
      <c r="Q49" s="127" t="s">
        <v>87</v>
      </c>
      <c r="R49" s="127" t="s">
        <v>88</v>
      </c>
      <c r="S49" s="127" t="s">
        <v>90</v>
      </c>
      <c r="T49" s="3"/>
      <c r="U49" s="3"/>
      <c r="V49" s="127" t="s">
        <v>92</v>
      </c>
      <c r="W49" s="127" t="s">
        <v>87</v>
      </c>
      <c r="X49" s="127" t="s">
        <v>88</v>
      </c>
      <c r="Y49" s="127" t="s">
        <v>90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/>
      <c r="E50" s="129"/>
      <c r="F50" s="129"/>
      <c r="G50" s="130">
        <f>D50+E50-F50</f>
        <v>0</v>
      </c>
      <c r="H50" s="108"/>
      <c r="I50" s="3"/>
      <c r="J50" s="129"/>
      <c r="K50" s="129"/>
      <c r="L50" s="129"/>
      <c r="M50" s="130">
        <f>J50+K50-L50</f>
        <v>0</v>
      </c>
      <c r="N50" s="3"/>
      <c r="O50" s="3"/>
      <c r="P50" s="129"/>
      <c r="Q50" s="129"/>
      <c r="R50" s="129"/>
      <c r="S50" s="130">
        <f>P50+Q50-R50</f>
        <v>0</v>
      </c>
      <c r="T50" s="3"/>
      <c r="U50" s="3"/>
      <c r="V50" s="129"/>
      <c r="W50" s="129"/>
      <c r="X50" s="129"/>
      <c r="Y50" s="13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781.9</v>
      </c>
      <c r="E51" s="129">
        <v>304.7</v>
      </c>
      <c r="F51" s="129">
        <v>732.5</v>
      </c>
      <c r="G51" s="130">
        <f t="shared" ref="G51:G54" si="22">D51+E51-F51</f>
        <v>354.09999999999991</v>
      </c>
      <c r="H51" s="108"/>
      <c r="I51" s="3"/>
      <c r="J51" s="129">
        <v>354.1</v>
      </c>
      <c r="K51" s="129">
        <v>61.5</v>
      </c>
      <c r="L51" s="129">
        <v>223.7</v>
      </c>
      <c r="M51" s="130">
        <f t="shared" ref="M51:M54" si="23">J51+K51-L51</f>
        <v>191.90000000000003</v>
      </c>
      <c r="N51" s="3"/>
      <c r="O51" s="3"/>
      <c r="P51" s="129">
        <v>354.1</v>
      </c>
      <c r="Q51" s="129">
        <v>61.5</v>
      </c>
      <c r="R51" s="129">
        <v>223.7</v>
      </c>
      <c r="S51" s="130">
        <f t="shared" ref="S51:S54" si="24">P51+Q51-R51</f>
        <v>191.90000000000003</v>
      </c>
      <c r="T51" s="3"/>
      <c r="U51" s="3"/>
      <c r="V51" s="129">
        <v>191.9</v>
      </c>
      <c r="W51" s="129"/>
      <c r="X51" s="129"/>
      <c r="Y51" s="130">
        <f t="shared" ref="Y51:Y54" si="25">V51+W51-X51</f>
        <v>191.9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258.39999999999998</v>
      </c>
      <c r="E52" s="129">
        <v>568.5</v>
      </c>
      <c r="F52" s="129">
        <v>755.8</v>
      </c>
      <c r="G52" s="130">
        <f t="shared" si="22"/>
        <v>71.100000000000023</v>
      </c>
      <c r="H52" s="108"/>
      <c r="I52" s="3"/>
      <c r="J52" s="129">
        <v>71.099999999999994</v>
      </c>
      <c r="K52" s="129">
        <v>218.8</v>
      </c>
      <c r="L52" s="129">
        <v>133.5</v>
      </c>
      <c r="M52" s="130">
        <f t="shared" si="23"/>
        <v>156.39999999999998</v>
      </c>
      <c r="N52" s="3"/>
      <c r="O52" s="3"/>
      <c r="P52" s="129">
        <v>71.099999999999994</v>
      </c>
      <c r="Q52" s="129">
        <v>218.8</v>
      </c>
      <c r="R52" s="129">
        <v>133.5</v>
      </c>
      <c r="S52" s="130">
        <f t="shared" si="24"/>
        <v>156.39999999999998</v>
      </c>
      <c r="T52" s="3"/>
      <c r="U52" s="3"/>
      <c r="V52" s="129">
        <v>156.4</v>
      </c>
      <c r="W52" s="129">
        <v>457.2</v>
      </c>
      <c r="X52" s="129">
        <v>267.39999999999998</v>
      </c>
      <c r="Y52" s="130">
        <f t="shared" si="25"/>
        <v>346.20000000000005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165</v>
      </c>
      <c r="E53" s="129">
        <v>14.4</v>
      </c>
      <c r="F53" s="129"/>
      <c r="G53" s="130">
        <f t="shared" si="22"/>
        <v>179.4</v>
      </c>
      <c r="H53" s="108"/>
      <c r="I53" s="3"/>
      <c r="J53" s="129">
        <v>179.4</v>
      </c>
      <c r="K53" s="129">
        <v>2.1</v>
      </c>
      <c r="L53" s="129"/>
      <c r="M53" s="130">
        <f t="shared" si="23"/>
        <v>181.5</v>
      </c>
      <c r="N53" s="3"/>
      <c r="O53" s="3"/>
      <c r="P53" s="129">
        <v>179.4</v>
      </c>
      <c r="Q53" s="129">
        <v>2.1</v>
      </c>
      <c r="R53" s="129"/>
      <c r="S53" s="130">
        <f t="shared" si="24"/>
        <v>181.5</v>
      </c>
      <c r="T53" s="3"/>
      <c r="U53" s="3"/>
      <c r="V53" s="129">
        <v>181.5</v>
      </c>
      <c r="W53" s="129"/>
      <c r="X53" s="129"/>
      <c r="Y53" s="130">
        <f t="shared" si="25"/>
        <v>181.5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3" t="s">
        <v>97</v>
      </c>
      <c r="D54" s="129">
        <v>143.4</v>
      </c>
      <c r="E54" s="129">
        <v>313.5</v>
      </c>
      <c r="F54" s="129">
        <v>282.60000000000002</v>
      </c>
      <c r="G54" s="130">
        <f t="shared" si="22"/>
        <v>174.29999999999995</v>
      </c>
      <c r="H54" s="108"/>
      <c r="I54" s="3"/>
      <c r="J54" s="129">
        <v>174.3</v>
      </c>
      <c r="K54" s="129">
        <v>156.1</v>
      </c>
      <c r="L54" s="129">
        <v>166.8</v>
      </c>
      <c r="M54" s="130">
        <f t="shared" si="23"/>
        <v>163.59999999999997</v>
      </c>
      <c r="N54" s="3"/>
      <c r="O54" s="3"/>
      <c r="P54" s="129">
        <v>174.3</v>
      </c>
      <c r="Q54" s="129">
        <v>156.1</v>
      </c>
      <c r="R54" s="129">
        <v>166.8</v>
      </c>
      <c r="S54" s="130">
        <f t="shared" si="24"/>
        <v>163.59999999999997</v>
      </c>
      <c r="T54" s="3"/>
      <c r="U54" s="3"/>
      <c r="V54" s="129">
        <v>163.6</v>
      </c>
      <c r="W54" s="129">
        <v>316</v>
      </c>
      <c r="X54" s="129">
        <v>316</v>
      </c>
      <c r="Y54" s="130">
        <f t="shared" si="25"/>
        <v>163.60000000000002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4">
        <v>36.630000000000003</v>
      </c>
      <c r="E57" s="134">
        <v>37.090000000000003</v>
      </c>
      <c r="F57" s="108"/>
      <c r="G57" s="108"/>
      <c r="H57" s="108"/>
      <c r="I57" s="115"/>
      <c r="J57" s="134">
        <v>38</v>
      </c>
      <c r="K57" s="108"/>
      <c r="L57" s="108"/>
      <c r="M57" s="108"/>
      <c r="N57" s="108"/>
      <c r="O57" s="115"/>
      <c r="P57" s="134">
        <v>40.42</v>
      </c>
      <c r="Q57" s="115"/>
      <c r="R57" s="115"/>
      <c r="S57" s="115"/>
      <c r="T57" s="115"/>
      <c r="U57" s="115"/>
      <c r="V57" s="134">
        <v>40.4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5" t="s">
        <v>103</v>
      </c>
      <c r="C59" s="136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  <c r="O59" s="931"/>
      <c r="P59" s="931"/>
      <c r="Q59" s="931"/>
      <c r="R59" s="931"/>
      <c r="S59" s="931"/>
      <c r="T59" s="931"/>
      <c r="U59" s="931"/>
      <c r="V59" s="137"/>
      <c r="W59" s="137"/>
      <c r="X59" s="137"/>
      <c r="Y59" s="137"/>
      <c r="Z59" s="137"/>
      <c r="AA59" s="137"/>
      <c r="AB59" s="138"/>
      <c r="AC59" s="3"/>
      <c r="AD59" s="3"/>
    </row>
    <row r="60" spans="1:30" x14ac:dyDescent="0.25">
      <c r="A60" s="1"/>
      <c r="B60" s="13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0"/>
      <c r="AC60" s="3"/>
      <c r="AD60" s="3"/>
    </row>
    <row r="61" spans="1:30" x14ac:dyDescent="0.25">
      <c r="A61" s="1"/>
      <c r="B61" s="925"/>
      <c r="C61" s="921"/>
      <c r="D61" s="921"/>
      <c r="E61" s="921"/>
      <c r="F61" s="921"/>
      <c r="G61" s="921"/>
      <c r="H61" s="921"/>
      <c r="I61" s="921"/>
      <c r="J61" s="921"/>
      <c r="K61" s="921"/>
      <c r="L61" s="921"/>
      <c r="M61" s="921"/>
      <c r="N61" s="921"/>
      <c r="O61" s="921"/>
      <c r="P61" s="921"/>
      <c r="Q61" s="921"/>
      <c r="R61" s="921"/>
      <c r="S61" s="921"/>
      <c r="T61" s="921"/>
      <c r="U61" s="921"/>
      <c r="V61" s="110"/>
      <c r="W61" s="110"/>
      <c r="X61" s="110"/>
      <c r="Y61" s="110"/>
      <c r="Z61" s="110"/>
      <c r="AA61" s="110"/>
      <c r="AB61" s="140"/>
      <c r="AC61" s="3"/>
      <c r="AD61" s="3"/>
    </row>
    <row r="62" spans="1:30" x14ac:dyDescent="0.25">
      <c r="A62" s="1"/>
      <c r="B62" s="925"/>
      <c r="C62" s="921"/>
      <c r="D62" s="921"/>
      <c r="E62" s="921"/>
      <c r="F62" s="921"/>
      <c r="G62" s="921"/>
      <c r="H62" s="921"/>
      <c r="I62" s="921"/>
      <c r="J62" s="921"/>
      <c r="K62" s="921"/>
      <c r="L62" s="921"/>
      <c r="M62" s="921"/>
      <c r="N62" s="921"/>
      <c r="O62" s="921"/>
      <c r="P62" s="921"/>
      <c r="Q62" s="921"/>
      <c r="R62" s="921"/>
      <c r="S62" s="921"/>
      <c r="T62" s="921"/>
      <c r="U62" s="921"/>
      <c r="V62" s="110"/>
      <c r="W62" s="110"/>
      <c r="X62" s="110"/>
      <c r="Y62" s="110"/>
      <c r="Z62" s="110"/>
      <c r="AA62" s="110"/>
      <c r="AB62" s="140"/>
      <c r="AC62" s="3"/>
      <c r="AD62" s="3"/>
    </row>
    <row r="63" spans="1:30" x14ac:dyDescent="0.25">
      <c r="A63" s="1"/>
      <c r="B63" s="925"/>
      <c r="C63" s="921"/>
      <c r="D63" s="921"/>
      <c r="E63" s="921"/>
      <c r="F63" s="921"/>
      <c r="G63" s="921"/>
      <c r="H63" s="921"/>
      <c r="I63" s="921"/>
      <c r="J63" s="921"/>
      <c r="K63" s="921"/>
      <c r="L63" s="921"/>
      <c r="M63" s="921"/>
      <c r="N63" s="921"/>
      <c r="O63" s="921"/>
      <c r="P63" s="921"/>
      <c r="Q63" s="921"/>
      <c r="R63" s="921"/>
      <c r="S63" s="921"/>
      <c r="T63" s="921"/>
      <c r="U63" s="921"/>
      <c r="V63" s="110"/>
      <c r="W63" s="110"/>
      <c r="X63" s="110"/>
      <c r="Y63" s="110"/>
      <c r="Z63" s="110"/>
      <c r="AA63" s="110"/>
      <c r="AB63" s="140"/>
      <c r="AC63" s="3"/>
      <c r="AD63" s="3"/>
    </row>
    <row r="64" spans="1:30" x14ac:dyDescent="0.25">
      <c r="A64" s="1"/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10"/>
      <c r="W64" s="110"/>
      <c r="X64" s="110"/>
      <c r="Y64" s="110"/>
      <c r="Z64" s="110"/>
      <c r="AA64" s="110"/>
      <c r="AB64" s="140"/>
      <c r="AC64" s="3"/>
      <c r="AD64" s="3"/>
    </row>
    <row r="65" spans="1:30" x14ac:dyDescent="0.25">
      <c r="A65" s="1"/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10"/>
      <c r="W65" s="110"/>
      <c r="X65" s="110"/>
      <c r="Y65" s="110"/>
      <c r="Z65" s="110"/>
      <c r="AA65" s="110"/>
      <c r="AB65" s="140"/>
      <c r="AC65" s="3"/>
      <c r="AD65" s="3"/>
    </row>
    <row r="66" spans="1:30" x14ac:dyDescent="0.25">
      <c r="A66" s="1"/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10"/>
      <c r="W66" s="110"/>
      <c r="X66" s="110"/>
      <c r="Y66" s="110"/>
      <c r="Z66" s="110"/>
      <c r="AA66" s="110"/>
      <c r="AB66" s="140"/>
      <c r="AC66" s="3"/>
      <c r="AD66" s="3"/>
    </row>
    <row r="67" spans="1:30" x14ac:dyDescent="0.25">
      <c r="A67" s="1"/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10"/>
      <c r="W67" s="110"/>
      <c r="X67" s="110"/>
      <c r="Y67" s="110"/>
      <c r="Z67" s="110"/>
      <c r="AA67" s="110"/>
      <c r="AB67" s="140"/>
      <c r="AC67" s="3"/>
      <c r="AD67" s="3"/>
    </row>
    <row r="68" spans="1:30" x14ac:dyDescent="0.25">
      <c r="A68" s="1"/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10"/>
      <c r="W68" s="110"/>
      <c r="X68" s="110"/>
      <c r="Y68" s="110"/>
      <c r="Z68" s="110"/>
      <c r="AA68" s="110"/>
      <c r="AB68" s="140"/>
      <c r="AC68" s="3"/>
      <c r="AD68" s="3"/>
    </row>
    <row r="69" spans="1:30" x14ac:dyDescent="0.25">
      <c r="A69" s="1"/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10"/>
      <c r="W69" s="110"/>
      <c r="X69" s="110"/>
      <c r="Y69" s="110"/>
      <c r="Z69" s="110"/>
      <c r="AA69" s="110"/>
      <c r="AB69" s="140"/>
      <c r="AC69" s="3"/>
      <c r="AD69" s="3"/>
    </row>
    <row r="70" spans="1:30" x14ac:dyDescent="0.25">
      <c r="A70" s="1"/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10"/>
      <c r="W70" s="110"/>
      <c r="X70" s="110"/>
      <c r="Y70" s="110"/>
      <c r="Z70" s="110"/>
      <c r="AA70" s="110"/>
      <c r="AB70" s="140"/>
      <c r="AC70" s="3"/>
      <c r="AD70" s="3"/>
    </row>
    <row r="71" spans="1:30" x14ac:dyDescent="0.25">
      <c r="A71" s="1"/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10"/>
      <c r="W71" s="110"/>
      <c r="X71" s="110"/>
      <c r="Y71" s="110"/>
      <c r="Z71" s="110"/>
      <c r="AA71" s="110"/>
      <c r="AB71" s="140"/>
      <c r="AC71" s="3"/>
      <c r="AD71" s="3"/>
    </row>
    <row r="72" spans="1:30" x14ac:dyDescent="0.25">
      <c r="A72" s="1"/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10"/>
      <c r="W72" s="110"/>
      <c r="X72" s="110"/>
      <c r="Y72" s="110"/>
      <c r="Z72" s="110"/>
      <c r="AA72" s="110"/>
      <c r="AB72" s="140"/>
      <c r="AC72" s="3"/>
      <c r="AD72" s="3"/>
    </row>
    <row r="73" spans="1:30" x14ac:dyDescent="0.25">
      <c r="A73" s="1"/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10"/>
      <c r="W73" s="110"/>
      <c r="X73" s="110"/>
      <c r="Y73" s="110"/>
      <c r="Z73" s="110"/>
      <c r="AA73" s="110"/>
      <c r="AB73" s="140"/>
      <c r="AC73" s="3"/>
      <c r="AD73" s="3"/>
    </row>
    <row r="74" spans="1:30" x14ac:dyDescent="0.25">
      <c r="A74" s="1"/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10"/>
      <c r="W74" s="110"/>
      <c r="X74" s="110"/>
      <c r="Y74" s="110"/>
      <c r="Z74" s="110"/>
      <c r="AA74" s="110"/>
      <c r="AB74" s="140"/>
      <c r="AC74" s="3"/>
      <c r="AD74" s="3"/>
    </row>
    <row r="75" spans="1:30" x14ac:dyDescent="0.25">
      <c r="A75" s="1"/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10"/>
      <c r="W75" s="110"/>
      <c r="X75" s="110"/>
      <c r="Y75" s="110"/>
      <c r="Z75" s="110"/>
      <c r="AA75" s="110"/>
      <c r="AB75" s="140"/>
      <c r="AC75" s="3"/>
      <c r="AD75" s="3"/>
    </row>
    <row r="76" spans="1:30" x14ac:dyDescent="0.25">
      <c r="A76" s="1"/>
      <c r="B76" s="14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10"/>
      <c r="W76" s="110"/>
      <c r="X76" s="110"/>
      <c r="Y76" s="110"/>
      <c r="Z76" s="110"/>
      <c r="AA76" s="110"/>
      <c r="AB76" s="140"/>
      <c r="AC76" s="3"/>
      <c r="AD76" s="3"/>
    </row>
    <row r="77" spans="1:30" x14ac:dyDescent="0.25">
      <c r="A77" s="1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10"/>
      <c r="W77" s="110"/>
      <c r="X77" s="110"/>
      <c r="Y77" s="110"/>
      <c r="Z77" s="110"/>
      <c r="AA77" s="110"/>
      <c r="AB77" s="140"/>
      <c r="AC77" s="3"/>
      <c r="AD77" s="3"/>
    </row>
    <row r="78" spans="1:30" x14ac:dyDescent="0.25">
      <c r="A78" s="1"/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10"/>
      <c r="W78" s="110"/>
      <c r="X78" s="110"/>
      <c r="Y78" s="110"/>
      <c r="Z78" s="110"/>
      <c r="AA78" s="110"/>
      <c r="AB78" s="140"/>
      <c r="AC78" s="3"/>
      <c r="AD78" s="3"/>
    </row>
    <row r="79" spans="1:30" x14ac:dyDescent="0.25">
      <c r="A79" s="1"/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10"/>
      <c r="W79" s="110"/>
      <c r="X79" s="110"/>
      <c r="Y79" s="110"/>
      <c r="Z79" s="110"/>
      <c r="AA79" s="110"/>
      <c r="AB79" s="140"/>
      <c r="AC79" s="3"/>
      <c r="AD79" s="3"/>
    </row>
    <row r="80" spans="1:30" x14ac:dyDescent="0.25">
      <c r="A80" s="1"/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10"/>
      <c r="W80" s="110"/>
      <c r="X80" s="110"/>
      <c r="Y80" s="110"/>
      <c r="Z80" s="110"/>
      <c r="AA80" s="110"/>
      <c r="AB80" s="140"/>
      <c r="AC80" s="3"/>
      <c r="AD80" s="3"/>
    </row>
    <row r="81" spans="1:30" x14ac:dyDescent="0.25">
      <c r="A81" s="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10"/>
      <c r="W81" s="110"/>
      <c r="X81" s="110"/>
      <c r="Y81" s="110"/>
      <c r="Z81" s="110"/>
      <c r="AA81" s="110"/>
      <c r="AB81" s="140"/>
      <c r="AC81" s="3"/>
      <c r="AD81" s="3"/>
    </row>
    <row r="82" spans="1:30" x14ac:dyDescent="0.25">
      <c r="A82" s="1"/>
      <c r="B82" s="925"/>
      <c r="C82" s="921"/>
      <c r="D82" s="921"/>
      <c r="E82" s="921"/>
      <c r="F82" s="921"/>
      <c r="G82" s="921"/>
      <c r="H82" s="921"/>
      <c r="I82" s="921"/>
      <c r="J82" s="921"/>
      <c r="K82" s="921"/>
      <c r="L82" s="921"/>
      <c r="M82" s="921"/>
      <c r="N82" s="921"/>
      <c r="O82" s="921"/>
      <c r="P82" s="921"/>
      <c r="Q82" s="921"/>
      <c r="R82" s="921"/>
      <c r="S82" s="921"/>
      <c r="T82" s="921"/>
      <c r="U82" s="921"/>
      <c r="V82" s="110"/>
      <c r="W82" s="110"/>
      <c r="X82" s="110"/>
      <c r="Y82" s="110"/>
      <c r="Z82" s="110"/>
      <c r="AA82" s="110"/>
      <c r="AB82" s="140"/>
      <c r="AC82" s="3"/>
      <c r="AD82" s="3"/>
    </row>
    <row r="83" spans="1:30" x14ac:dyDescent="0.25">
      <c r="A83" s="1"/>
      <c r="B83" s="143"/>
      <c r="C83" s="162"/>
      <c r="D83" s="162"/>
      <c r="E83" s="16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10"/>
      <c r="W83" s="110"/>
      <c r="X83" s="110"/>
      <c r="Y83" s="110"/>
      <c r="Z83" s="110"/>
      <c r="AA83" s="110"/>
      <c r="AB83" s="140"/>
      <c r="AC83" s="3"/>
      <c r="AD83" s="3"/>
    </row>
    <row r="84" spans="1:30" x14ac:dyDescent="0.25">
      <c r="A84" s="1"/>
      <c r="B84" s="161"/>
      <c r="C84" s="160"/>
      <c r="D84" s="145"/>
      <c r="E84" s="145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10"/>
      <c r="W84" s="110"/>
      <c r="X84" s="110"/>
      <c r="Y84" s="110"/>
      <c r="Z84" s="110"/>
      <c r="AA84" s="110"/>
      <c r="AB84" s="140"/>
      <c r="AC84" s="3"/>
      <c r="AD84" s="3"/>
    </row>
    <row r="85" spans="1:30" x14ac:dyDescent="0.25">
      <c r="A85" s="1"/>
      <c r="B85" s="143"/>
      <c r="C85" s="144"/>
      <c r="D85" s="145"/>
      <c r="E85" s="145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10"/>
      <c r="W85" s="110"/>
      <c r="X85" s="110"/>
      <c r="Y85" s="110"/>
      <c r="Z85" s="110"/>
      <c r="AA85" s="110"/>
      <c r="AB85" s="140"/>
      <c r="AC85" s="3"/>
      <c r="AD85" s="3"/>
    </row>
    <row r="86" spans="1:30" x14ac:dyDescent="0.25">
      <c r="A86" s="1"/>
      <c r="B86" s="143"/>
      <c r="C86" s="144"/>
      <c r="D86" s="145"/>
      <c r="E86" s="145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10"/>
      <c r="W86" s="110"/>
      <c r="X86" s="110"/>
      <c r="Y86" s="110"/>
      <c r="Z86" s="110"/>
      <c r="AA86" s="110"/>
      <c r="AB86" s="140"/>
      <c r="AC86" s="3"/>
      <c r="AD86" s="3"/>
    </row>
    <row r="87" spans="1:30" x14ac:dyDescent="0.25">
      <c r="A87" s="1"/>
      <c r="B87" s="146"/>
      <c r="C87" s="147"/>
      <c r="D87" s="148"/>
      <c r="E87" s="148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50"/>
      <c r="W87" s="150"/>
      <c r="X87" s="150"/>
      <c r="Y87" s="150"/>
      <c r="Z87" s="150"/>
      <c r="AA87" s="150"/>
      <c r="AB87" s="151"/>
      <c r="AC87" s="3"/>
      <c r="AD87" s="3"/>
    </row>
    <row r="88" spans="1:30" x14ac:dyDescent="0.25">
      <c r="A88" s="104"/>
      <c r="B88" s="152"/>
      <c r="C88" s="153"/>
      <c r="D88" s="152"/>
      <c r="E88" s="152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2"/>
      <c r="C89" s="153"/>
      <c r="D89" s="152"/>
      <c r="E89" s="152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5" t="s">
        <v>109</v>
      </c>
      <c r="C91" s="156">
        <v>44855</v>
      </c>
      <c r="D91" s="155" t="s">
        <v>110</v>
      </c>
      <c r="E91" s="921" t="s">
        <v>259</v>
      </c>
      <c r="F91" s="921"/>
      <c r="G91" s="921"/>
      <c r="H91" s="155"/>
      <c r="I91" s="155" t="s">
        <v>112</v>
      </c>
      <c r="J91" s="922" t="s">
        <v>260</v>
      </c>
      <c r="K91" s="922"/>
      <c r="L91" s="922"/>
      <c r="M91" s="922"/>
      <c r="N91" s="155"/>
      <c r="O91" s="155"/>
      <c r="P91" s="155"/>
      <c r="Q91" s="155"/>
      <c r="R91" s="155"/>
      <c r="S91" s="155"/>
      <c r="T91" s="155"/>
      <c r="U91" s="155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5"/>
      <c r="C93" s="155"/>
      <c r="D93" s="155" t="s">
        <v>114</v>
      </c>
      <c r="E93" s="157"/>
      <c r="F93" s="157"/>
      <c r="G93" s="157"/>
      <c r="H93" s="155"/>
      <c r="I93" s="155" t="s">
        <v>114</v>
      </c>
      <c r="J93" s="158"/>
      <c r="K93" s="158"/>
      <c r="L93" s="158"/>
      <c r="M93" s="158"/>
      <c r="N93" s="155"/>
      <c r="O93" s="155"/>
      <c r="P93" s="155"/>
      <c r="Q93" s="155"/>
      <c r="R93" s="155"/>
      <c r="S93" s="155"/>
      <c r="T93" s="155"/>
      <c r="U93" s="155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5"/>
      <c r="C94" s="155"/>
      <c r="D94" s="155"/>
      <c r="E94" s="157"/>
      <c r="F94" s="157"/>
      <c r="G94" s="157"/>
      <c r="H94" s="155"/>
      <c r="I94" s="155"/>
      <c r="J94" s="158"/>
      <c r="K94" s="158"/>
      <c r="L94" s="158"/>
      <c r="M94" s="158"/>
      <c r="N94" s="155"/>
      <c r="O94" s="155"/>
      <c r="P94" s="155"/>
      <c r="Q94" s="155"/>
      <c r="R94" s="155"/>
      <c r="S94" s="155"/>
      <c r="T94" s="155"/>
      <c r="U94" s="155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15" priority="3" operator="equal">
      <formula>0</formula>
    </cfRule>
    <cfRule type="containsErrors" dxfId="14" priority="4">
      <formula>ISERROR(AB15)</formula>
    </cfRule>
  </conditionalFormatting>
  <conditionalFormatting sqref="AB28:AB41">
    <cfRule type="cellIs" dxfId="13" priority="1" operator="equal">
      <formula>0</formula>
    </cfRule>
    <cfRule type="containsErrors" dxfId="12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view="pageBreakPreview" zoomScale="80" zoomScaleNormal="80" zoomScaleSheetLayoutView="80" workbookViewId="0">
      <selection activeCell="V30" sqref="V3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59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261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72744260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27" t="s">
        <v>262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9</v>
      </c>
      <c r="K10" s="883"/>
      <c r="L10" s="883"/>
      <c r="M10" s="883"/>
      <c r="N10" s="883"/>
      <c r="O10" s="884"/>
      <c r="P10" s="882" t="s">
        <v>10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890"/>
      <c r="H14" s="892"/>
      <c r="I14" s="912"/>
      <c r="J14" s="11" t="s">
        <v>20</v>
      </c>
      <c r="K14" s="12" t="s">
        <v>21</v>
      </c>
      <c r="L14" s="12" t="s">
        <v>22</v>
      </c>
      <c r="M14" s="890"/>
      <c r="N14" s="892"/>
      <c r="O14" s="912"/>
      <c r="P14" s="11" t="s">
        <v>20</v>
      </c>
      <c r="Q14" s="12" t="s">
        <v>21</v>
      </c>
      <c r="R14" s="12" t="s">
        <v>22</v>
      </c>
      <c r="S14" s="890"/>
      <c r="T14" s="892"/>
      <c r="U14" s="912"/>
      <c r="V14" s="11" t="s">
        <v>20</v>
      </c>
      <c r="W14" s="12" t="s">
        <v>21</v>
      </c>
      <c r="X14" s="12" t="s">
        <v>22</v>
      </c>
      <c r="Y14" s="890"/>
      <c r="Z14" s="892"/>
      <c r="AA14" s="912"/>
      <c r="AB14" s="902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6778</v>
      </c>
      <c r="G15" s="18">
        <f>SUM(D15:F15)</f>
        <v>6778</v>
      </c>
      <c r="H15" s="19">
        <v>63</v>
      </c>
      <c r="I15" s="20">
        <f>G15+H15</f>
        <v>6841</v>
      </c>
      <c r="J15" s="15"/>
      <c r="K15" s="16"/>
      <c r="L15" s="17">
        <v>9500</v>
      </c>
      <c r="M15" s="18">
        <f t="shared" ref="M15:M23" si="0">SUM(J15:L15)</f>
        <v>9500</v>
      </c>
      <c r="N15" s="19">
        <v>64</v>
      </c>
      <c r="O15" s="20">
        <f>M15+N15</f>
        <v>9564</v>
      </c>
      <c r="P15" s="15"/>
      <c r="Q15" s="16"/>
      <c r="R15" s="17">
        <v>5170</v>
      </c>
      <c r="S15" s="18">
        <f>SUM(P15:R15)</f>
        <v>5170</v>
      </c>
      <c r="T15" s="19">
        <v>0</v>
      </c>
      <c r="U15" s="20">
        <f>S15+T15</f>
        <v>5170</v>
      </c>
      <c r="V15" s="15"/>
      <c r="W15" s="16"/>
      <c r="X15" s="17">
        <v>9500</v>
      </c>
      <c r="Y15" s="18">
        <f>SUM(V15:X15)</f>
        <v>9500</v>
      </c>
      <c r="Z15" s="19">
        <v>0</v>
      </c>
      <c r="AA15" s="20">
        <f>Y15+Z15</f>
        <v>9500</v>
      </c>
      <c r="AB15" s="21">
        <f>(AA15/O15)</f>
        <v>0.99330823923044753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12222.4</v>
      </c>
      <c r="E16" s="25"/>
      <c r="F16" s="25"/>
      <c r="G16" s="26">
        <f t="shared" ref="G16:G23" si="1">SUM(D16:F16)</f>
        <v>12222.4</v>
      </c>
      <c r="H16" s="27"/>
      <c r="I16" s="20">
        <f t="shared" ref="I16:I23" si="2">G16+H16</f>
        <v>12222.4</v>
      </c>
      <c r="J16" s="24">
        <v>14038.6</v>
      </c>
      <c r="K16" s="25"/>
      <c r="L16" s="25"/>
      <c r="M16" s="26">
        <f t="shared" si="0"/>
        <v>14038.6</v>
      </c>
      <c r="N16" s="27"/>
      <c r="O16" s="20">
        <f t="shared" ref="O16:O20" si="3">M16+N16</f>
        <v>14038.6</v>
      </c>
      <c r="P16" s="24">
        <v>6238.6</v>
      </c>
      <c r="Q16" s="25"/>
      <c r="R16" s="25"/>
      <c r="S16" s="26">
        <f t="shared" ref="S16:S23" si="4">SUM(P16:R16)</f>
        <v>6238.6</v>
      </c>
      <c r="T16" s="27"/>
      <c r="U16" s="20">
        <f t="shared" ref="U16:U20" si="5">S16+T16</f>
        <v>6238.6</v>
      </c>
      <c r="V16" s="24">
        <v>16313.3</v>
      </c>
      <c r="W16" s="25"/>
      <c r="X16" s="25"/>
      <c r="Y16" s="26">
        <f t="shared" ref="Y16:Y23" si="6">SUM(V16:X16)</f>
        <v>16313.3</v>
      </c>
      <c r="Z16" s="27"/>
      <c r="AA16" s="20">
        <f t="shared" ref="AA16:AA20" si="7">Y16+Z16</f>
        <v>16313.3</v>
      </c>
      <c r="AB16" s="21">
        <f t="shared" ref="AB16:AB24" si="8">(AA16/O16)</f>
        <v>1.1620318265354095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282.7</v>
      </c>
      <c r="E17" s="30"/>
      <c r="F17" s="30"/>
      <c r="G17" s="26">
        <f t="shared" si="1"/>
        <v>282.7</v>
      </c>
      <c r="H17" s="31"/>
      <c r="I17" s="20">
        <f t="shared" si="2"/>
        <v>282.7</v>
      </c>
      <c r="J17" s="29">
        <v>4104.3999999999996</v>
      </c>
      <c r="K17" s="30"/>
      <c r="L17" s="30"/>
      <c r="M17" s="26">
        <f t="shared" si="0"/>
        <v>4104.3999999999996</v>
      </c>
      <c r="N17" s="31"/>
      <c r="O17" s="20">
        <f t="shared" si="3"/>
        <v>4104.3999999999996</v>
      </c>
      <c r="P17" s="29">
        <v>72.900000000000006</v>
      </c>
      <c r="Q17" s="30"/>
      <c r="R17" s="30"/>
      <c r="S17" s="26">
        <f t="shared" si="4"/>
        <v>72.900000000000006</v>
      </c>
      <c r="T17" s="31"/>
      <c r="U17" s="20">
        <f t="shared" si="5"/>
        <v>72.900000000000006</v>
      </c>
      <c r="V17" s="29">
        <v>271.7</v>
      </c>
      <c r="W17" s="30"/>
      <c r="X17" s="30"/>
      <c r="Y17" s="26">
        <f t="shared" si="6"/>
        <v>271.7</v>
      </c>
      <c r="Z17" s="31"/>
      <c r="AA17" s="20">
        <f t="shared" si="7"/>
        <v>271.7</v>
      </c>
      <c r="AB17" s="21">
        <f t="shared" si="8"/>
        <v>6.6197251729850901E-2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108634</v>
      </c>
      <c r="F18" s="30"/>
      <c r="G18" s="26">
        <f t="shared" si="1"/>
        <v>108634</v>
      </c>
      <c r="H18" s="19">
        <v>0</v>
      </c>
      <c r="I18" s="20">
        <f t="shared" si="2"/>
        <v>108634</v>
      </c>
      <c r="J18" s="33"/>
      <c r="K18" s="34">
        <v>113128</v>
      </c>
      <c r="L18" s="30"/>
      <c r="M18" s="26">
        <f t="shared" si="0"/>
        <v>113128</v>
      </c>
      <c r="N18" s="19">
        <v>0</v>
      </c>
      <c r="O18" s="20">
        <f t="shared" si="3"/>
        <v>113128</v>
      </c>
      <c r="P18" s="33"/>
      <c r="Q18" s="34">
        <v>56574</v>
      </c>
      <c r="R18" s="30"/>
      <c r="S18" s="26">
        <f t="shared" si="4"/>
        <v>56574</v>
      </c>
      <c r="T18" s="19"/>
      <c r="U18" s="20">
        <f t="shared" si="5"/>
        <v>56574</v>
      </c>
      <c r="V18" s="33"/>
      <c r="W18" s="34">
        <v>114000</v>
      </c>
      <c r="X18" s="30"/>
      <c r="Y18" s="26">
        <f t="shared" si="6"/>
        <v>114000</v>
      </c>
      <c r="Z18" s="19">
        <v>0</v>
      </c>
      <c r="AA18" s="20">
        <f t="shared" si="7"/>
        <v>114000</v>
      </c>
      <c r="AB18" s="21">
        <f t="shared" si="8"/>
        <v>1.0077080828795701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>
        <v>215.9</v>
      </c>
      <c r="G19" s="26">
        <f t="shared" si="1"/>
        <v>215.9</v>
      </c>
      <c r="H19" s="38">
        <v>0</v>
      </c>
      <c r="I19" s="20">
        <f t="shared" si="2"/>
        <v>215.9</v>
      </c>
      <c r="J19" s="36"/>
      <c r="K19" s="30"/>
      <c r="L19" s="37">
        <v>371</v>
      </c>
      <c r="M19" s="26">
        <f t="shared" si="0"/>
        <v>371</v>
      </c>
      <c r="N19" s="38">
        <v>0</v>
      </c>
      <c r="O19" s="20">
        <f t="shared" si="3"/>
        <v>371</v>
      </c>
      <c r="P19" s="36"/>
      <c r="Q19" s="30"/>
      <c r="R19" s="37">
        <v>233</v>
      </c>
      <c r="S19" s="26">
        <f t="shared" si="4"/>
        <v>233</v>
      </c>
      <c r="T19" s="38"/>
      <c r="U19" s="20">
        <f t="shared" si="5"/>
        <v>233</v>
      </c>
      <c r="V19" s="36"/>
      <c r="W19" s="30"/>
      <c r="X19" s="37">
        <v>275</v>
      </c>
      <c r="Y19" s="26">
        <f t="shared" si="6"/>
        <v>275</v>
      </c>
      <c r="Z19" s="38">
        <v>0</v>
      </c>
      <c r="AA19" s="20">
        <f t="shared" si="7"/>
        <v>275</v>
      </c>
      <c r="AB19" s="21">
        <f t="shared" si="8"/>
        <v>0.74123989218328845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347</v>
      </c>
      <c r="G20" s="26">
        <f t="shared" si="1"/>
        <v>347</v>
      </c>
      <c r="H20" s="38">
        <v>0</v>
      </c>
      <c r="I20" s="20">
        <f t="shared" si="2"/>
        <v>347</v>
      </c>
      <c r="J20" s="33"/>
      <c r="K20" s="25"/>
      <c r="L20" s="40">
        <v>200</v>
      </c>
      <c r="M20" s="26">
        <f t="shared" si="0"/>
        <v>200</v>
      </c>
      <c r="N20" s="38">
        <v>0</v>
      </c>
      <c r="O20" s="20">
        <f t="shared" si="3"/>
        <v>200</v>
      </c>
      <c r="P20" s="33"/>
      <c r="Q20" s="25"/>
      <c r="R20" s="40">
        <v>131</v>
      </c>
      <c r="S20" s="26">
        <f t="shared" si="4"/>
        <v>131</v>
      </c>
      <c r="T20" s="38"/>
      <c r="U20" s="20">
        <f t="shared" si="5"/>
        <v>131</v>
      </c>
      <c r="V20" s="33"/>
      <c r="W20" s="25"/>
      <c r="X20" s="40">
        <v>200</v>
      </c>
      <c r="Y20" s="26">
        <f>SUM(V20:X20)</f>
        <v>200</v>
      </c>
      <c r="Z20" s="38">
        <v>0</v>
      </c>
      <c r="AA20" s="20">
        <f t="shared" si="7"/>
        <v>200</v>
      </c>
      <c r="AB20" s="21">
        <f t="shared" si="8"/>
        <v>1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237</v>
      </c>
      <c r="G21" s="26">
        <f t="shared" si="1"/>
        <v>237</v>
      </c>
      <c r="H21" s="42">
        <v>54</v>
      </c>
      <c r="I21" s="20">
        <f>G21+H21</f>
        <v>291</v>
      </c>
      <c r="J21" s="33"/>
      <c r="K21" s="25"/>
      <c r="L21" s="40">
        <v>350</v>
      </c>
      <c r="M21" s="26">
        <f t="shared" si="0"/>
        <v>350</v>
      </c>
      <c r="N21" s="42">
        <v>50</v>
      </c>
      <c r="O21" s="20">
        <f>M21+N21</f>
        <v>400</v>
      </c>
      <c r="P21" s="33"/>
      <c r="Q21" s="25"/>
      <c r="R21" s="40">
        <v>182</v>
      </c>
      <c r="S21" s="26">
        <f t="shared" si="4"/>
        <v>182</v>
      </c>
      <c r="T21" s="42"/>
      <c r="U21" s="20">
        <f>S21+T21</f>
        <v>182</v>
      </c>
      <c r="V21" s="33"/>
      <c r="W21" s="25"/>
      <c r="X21" s="40">
        <v>350</v>
      </c>
      <c r="Y21" s="26">
        <f t="shared" si="6"/>
        <v>350</v>
      </c>
      <c r="Z21" s="42">
        <v>100</v>
      </c>
      <c r="AA21" s="20">
        <f>Y21+Z21</f>
        <v>450</v>
      </c>
      <c r="AB21" s="21">
        <f t="shared" si="8"/>
        <v>1.125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>
        <v>0</v>
      </c>
      <c r="G22" s="26">
        <f t="shared" si="1"/>
        <v>0</v>
      </c>
      <c r="H22" s="42">
        <v>0</v>
      </c>
      <c r="I22" s="20">
        <f t="shared" si="2"/>
        <v>0</v>
      </c>
      <c r="J22" s="33"/>
      <c r="K22" s="25"/>
      <c r="L22" s="40">
        <v>0</v>
      </c>
      <c r="M22" s="26">
        <f t="shared" si="0"/>
        <v>0</v>
      </c>
      <c r="N22" s="42">
        <v>0</v>
      </c>
      <c r="O22" s="20">
        <f t="shared" ref="O22:O23" si="9">M22+N22</f>
        <v>0</v>
      </c>
      <c r="P22" s="33"/>
      <c r="Q22" s="25"/>
      <c r="R22" s="40">
        <v>0</v>
      </c>
      <c r="S22" s="26">
        <f t="shared" si="4"/>
        <v>0</v>
      </c>
      <c r="T22" s="42"/>
      <c r="U22" s="20">
        <f t="shared" ref="U22:U23" si="10">S22+T22</f>
        <v>0</v>
      </c>
      <c r="V22" s="33"/>
      <c r="W22" s="25"/>
      <c r="X22" s="40">
        <v>0</v>
      </c>
      <c r="Y22" s="26">
        <f t="shared" si="6"/>
        <v>0</v>
      </c>
      <c r="Z22" s="42">
        <v>0</v>
      </c>
      <c r="AA22" s="20">
        <f t="shared" ref="AA22:AA23" si="11">Y22+Z22</f>
        <v>0</v>
      </c>
      <c r="AB22" s="21" t="e">
        <f t="shared" si="8"/>
        <v>#DIV/0!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>
        <v>0</v>
      </c>
      <c r="G23" s="48">
        <f t="shared" si="1"/>
        <v>0</v>
      </c>
      <c r="H23" s="49">
        <v>0</v>
      </c>
      <c r="I23" s="50">
        <f t="shared" si="2"/>
        <v>0</v>
      </c>
      <c r="J23" s="45"/>
      <c r="K23" s="46"/>
      <c r="L23" s="47">
        <v>0</v>
      </c>
      <c r="M23" s="48">
        <f t="shared" si="0"/>
        <v>0</v>
      </c>
      <c r="N23" s="49">
        <v>0</v>
      </c>
      <c r="O23" s="50">
        <f t="shared" si="9"/>
        <v>0</v>
      </c>
      <c r="P23" s="45"/>
      <c r="Q23" s="46"/>
      <c r="R23" s="47">
        <v>5</v>
      </c>
      <c r="S23" s="48">
        <f t="shared" si="4"/>
        <v>5</v>
      </c>
      <c r="T23" s="49"/>
      <c r="U23" s="50">
        <f t="shared" si="10"/>
        <v>5</v>
      </c>
      <c r="V23" s="45"/>
      <c r="W23" s="46"/>
      <c r="X23" s="47">
        <v>0</v>
      </c>
      <c r="Y23" s="48">
        <f t="shared" si="6"/>
        <v>0</v>
      </c>
      <c r="Z23" s="49">
        <v>0</v>
      </c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12505.1</v>
      </c>
      <c r="E24" s="55">
        <f>SUM(E15:E21)</f>
        <v>108634</v>
      </c>
      <c r="F24" s="55">
        <f>SUM(F15:F21)</f>
        <v>7577.9</v>
      </c>
      <c r="G24" s="56">
        <f>SUM(D24:F24)</f>
        <v>128717</v>
      </c>
      <c r="H24" s="57">
        <f>SUM(H15:H23)</f>
        <v>117</v>
      </c>
      <c r="I24" s="57">
        <f>SUM(I15:I21)</f>
        <v>128834</v>
      </c>
      <c r="J24" s="54">
        <f>SUM(J15:J21)</f>
        <v>18143</v>
      </c>
      <c r="K24" s="55">
        <f>SUM(K15:K21)</f>
        <v>113128</v>
      </c>
      <c r="L24" s="55">
        <f>SUM(L15:L21)</f>
        <v>10421</v>
      </c>
      <c r="M24" s="56">
        <f>SUM(J24:L24)</f>
        <v>141692</v>
      </c>
      <c r="N24" s="57">
        <f>SUM(N15:N23)</f>
        <v>114</v>
      </c>
      <c r="O24" s="57">
        <f>SUM(O15:O21)</f>
        <v>141806</v>
      </c>
      <c r="P24" s="54">
        <f>SUM(P15:P21)</f>
        <v>6311.5</v>
      </c>
      <c r="Q24" s="55">
        <f>SUM(Q15:Q21)</f>
        <v>56574</v>
      </c>
      <c r="R24" s="55">
        <f>SUM(R15:R21)</f>
        <v>5716</v>
      </c>
      <c r="S24" s="56">
        <f>SUM(P24:R24)</f>
        <v>68601.5</v>
      </c>
      <c r="T24" s="57">
        <f>SUM(T15:T21)</f>
        <v>0</v>
      </c>
      <c r="U24" s="57">
        <f>SUM(U15:U21)</f>
        <v>68601.5</v>
      </c>
      <c r="V24" s="54">
        <f>SUM(V15:V21)</f>
        <v>16585</v>
      </c>
      <c r="W24" s="55">
        <f>SUM(W15:W21)</f>
        <v>114000</v>
      </c>
      <c r="X24" s="55">
        <f>SUM(X15:X21)</f>
        <v>10325</v>
      </c>
      <c r="Y24" s="56">
        <f>SUM(V24:X24)</f>
        <v>140910</v>
      </c>
      <c r="Z24" s="57">
        <f>SUM(Z15:Z23)</f>
        <v>100</v>
      </c>
      <c r="AA24" s="57">
        <f>SUM(AA15:AA21)</f>
        <v>141010</v>
      </c>
      <c r="AB24" s="58">
        <f t="shared" si="8"/>
        <v>0.9943866973188723</v>
      </c>
      <c r="AC24" s="3"/>
      <c r="AD24" s="3"/>
    </row>
    <row r="25" spans="1:30" ht="15.75" customHeight="1" thickBot="1" x14ac:dyDescent="0.3">
      <c r="A25" s="1"/>
      <c r="B25" s="59"/>
      <c r="C25" s="60"/>
      <c r="D25" s="885" t="s">
        <v>43</v>
      </c>
      <c r="E25" s="886"/>
      <c r="F25" s="886"/>
      <c r="G25" s="887"/>
      <c r="H25" s="887"/>
      <c r="I25" s="888"/>
      <c r="J25" s="885" t="s">
        <v>43</v>
      </c>
      <c r="K25" s="886"/>
      <c r="L25" s="886"/>
      <c r="M25" s="887"/>
      <c r="N25" s="887"/>
      <c r="O25" s="888"/>
      <c r="P25" s="885" t="s">
        <v>43</v>
      </c>
      <c r="Q25" s="886"/>
      <c r="R25" s="886"/>
      <c r="S25" s="887"/>
      <c r="T25" s="887"/>
      <c r="U25" s="888"/>
      <c r="V25" s="885" t="s">
        <v>43</v>
      </c>
      <c r="W25" s="886"/>
      <c r="X25" s="886"/>
      <c r="Y25" s="887"/>
      <c r="Z25" s="887"/>
      <c r="AA25" s="888"/>
      <c r="AB25" s="893" t="s">
        <v>12</v>
      </c>
      <c r="AC25" s="3"/>
      <c r="AD25" s="3"/>
    </row>
    <row r="26" spans="1:30" ht="15.75" thickBot="1" x14ac:dyDescent="0.3">
      <c r="A26" s="1"/>
      <c r="B26" s="932" t="s">
        <v>6</v>
      </c>
      <c r="C26" s="917" t="s">
        <v>7</v>
      </c>
      <c r="D26" s="896" t="s">
        <v>44</v>
      </c>
      <c r="E26" s="897"/>
      <c r="F26" s="897"/>
      <c r="G26" s="913" t="s">
        <v>45</v>
      </c>
      <c r="H26" s="915" t="s">
        <v>46</v>
      </c>
      <c r="I26" s="898" t="s">
        <v>43</v>
      </c>
      <c r="J26" s="896" t="s">
        <v>44</v>
      </c>
      <c r="K26" s="897"/>
      <c r="L26" s="897"/>
      <c r="M26" s="913" t="s">
        <v>45</v>
      </c>
      <c r="N26" s="915" t="s">
        <v>46</v>
      </c>
      <c r="O26" s="898" t="s">
        <v>43</v>
      </c>
      <c r="P26" s="896" t="s">
        <v>44</v>
      </c>
      <c r="Q26" s="897"/>
      <c r="R26" s="897"/>
      <c r="S26" s="913" t="s">
        <v>45</v>
      </c>
      <c r="T26" s="915" t="s">
        <v>46</v>
      </c>
      <c r="U26" s="898" t="s">
        <v>43</v>
      </c>
      <c r="V26" s="896" t="s">
        <v>44</v>
      </c>
      <c r="W26" s="897"/>
      <c r="X26" s="897"/>
      <c r="Y26" s="913" t="s">
        <v>45</v>
      </c>
      <c r="Z26" s="915" t="s">
        <v>46</v>
      </c>
      <c r="AA26" s="898" t="s">
        <v>43</v>
      </c>
      <c r="AB26" s="894"/>
      <c r="AC26" s="3"/>
      <c r="AD26" s="3"/>
    </row>
    <row r="27" spans="1:30" ht="15.75" thickBot="1" x14ac:dyDescent="0.3">
      <c r="A27" s="1"/>
      <c r="B27" s="933"/>
      <c r="C27" s="918"/>
      <c r="D27" s="61" t="s">
        <v>47</v>
      </c>
      <c r="E27" s="62" t="s">
        <v>48</v>
      </c>
      <c r="F27" s="63" t="s">
        <v>49</v>
      </c>
      <c r="G27" s="914"/>
      <c r="H27" s="916"/>
      <c r="I27" s="899"/>
      <c r="J27" s="61" t="s">
        <v>47</v>
      </c>
      <c r="K27" s="62" t="s">
        <v>48</v>
      </c>
      <c r="L27" s="63" t="s">
        <v>49</v>
      </c>
      <c r="M27" s="914"/>
      <c r="N27" s="916"/>
      <c r="O27" s="899"/>
      <c r="P27" s="61" t="s">
        <v>47</v>
      </c>
      <c r="Q27" s="62" t="s">
        <v>48</v>
      </c>
      <c r="R27" s="63" t="s">
        <v>49</v>
      </c>
      <c r="S27" s="914"/>
      <c r="T27" s="916"/>
      <c r="U27" s="899"/>
      <c r="V27" s="61" t="s">
        <v>47</v>
      </c>
      <c r="W27" s="62" t="s">
        <v>48</v>
      </c>
      <c r="X27" s="63" t="s">
        <v>49</v>
      </c>
      <c r="Y27" s="914"/>
      <c r="Z27" s="916"/>
      <c r="AA27" s="899"/>
      <c r="AB27" s="895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1015</v>
      </c>
      <c r="E28" s="65">
        <v>0</v>
      </c>
      <c r="F28" s="65">
        <v>406</v>
      </c>
      <c r="G28" s="66">
        <f>SUM(D28:F28)</f>
        <v>1421</v>
      </c>
      <c r="H28" s="66">
        <v>0</v>
      </c>
      <c r="I28" s="67">
        <f>G28+H28</f>
        <v>1421</v>
      </c>
      <c r="J28" s="65">
        <v>600</v>
      </c>
      <c r="K28" s="65">
        <v>0</v>
      </c>
      <c r="L28" s="65">
        <v>900</v>
      </c>
      <c r="M28" s="66">
        <f>SUM(J28:L28)</f>
        <v>1500</v>
      </c>
      <c r="N28" s="66">
        <v>0</v>
      </c>
      <c r="O28" s="67">
        <f>M28+N28</f>
        <v>1500</v>
      </c>
      <c r="P28" s="68">
        <v>430</v>
      </c>
      <c r="Q28" s="65">
        <v>0</v>
      </c>
      <c r="R28" s="65">
        <v>205</v>
      </c>
      <c r="S28" s="66">
        <f>SUM(P28:R28)</f>
        <v>635</v>
      </c>
      <c r="T28" s="66"/>
      <c r="U28" s="67">
        <f>S28+T28</f>
        <v>635</v>
      </c>
      <c r="V28" s="68">
        <v>600</v>
      </c>
      <c r="W28" s="65">
        <v>0</v>
      </c>
      <c r="X28" s="65">
        <v>1100</v>
      </c>
      <c r="Y28" s="66">
        <f>SUM(V28:X28)</f>
        <v>1700</v>
      </c>
      <c r="Z28" s="66">
        <v>0</v>
      </c>
      <c r="AA28" s="67">
        <f>Y28+Z28</f>
        <v>1700</v>
      </c>
      <c r="AB28" s="21">
        <f t="shared" ref="AB28:AB41" si="12">(AA28/O28)</f>
        <v>1.1333333333333333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412</v>
      </c>
      <c r="E29" s="70">
        <v>50</v>
      </c>
      <c r="F29" s="70">
        <v>5868</v>
      </c>
      <c r="G29" s="71">
        <f t="shared" ref="G29:G38" si="13">SUM(D29:F29)</f>
        <v>6330</v>
      </c>
      <c r="H29" s="72">
        <v>0</v>
      </c>
      <c r="I29" s="20">
        <f t="shared" ref="I29:I38" si="14">G29+H29</f>
        <v>6330</v>
      </c>
      <c r="J29" s="70">
        <v>717</v>
      </c>
      <c r="K29" s="70">
        <v>150</v>
      </c>
      <c r="L29" s="70">
        <v>7750</v>
      </c>
      <c r="M29" s="71">
        <f t="shared" ref="M29:M38" si="15">SUM(J29:L29)</f>
        <v>8617</v>
      </c>
      <c r="N29" s="72">
        <v>0</v>
      </c>
      <c r="O29" s="20">
        <f t="shared" ref="O29:O38" si="16">M29+N29</f>
        <v>8617</v>
      </c>
      <c r="P29" s="73">
        <v>313</v>
      </c>
      <c r="Q29" s="70">
        <v>63</v>
      </c>
      <c r="R29" s="70">
        <v>4167</v>
      </c>
      <c r="S29" s="71">
        <f t="shared" ref="S29:S38" si="17">SUM(P29:R29)</f>
        <v>4543</v>
      </c>
      <c r="T29" s="72"/>
      <c r="U29" s="20">
        <f t="shared" ref="U29:U38" si="18">S29+T29</f>
        <v>4543</v>
      </c>
      <c r="V29" s="73">
        <v>647.70000000000005</v>
      </c>
      <c r="W29" s="70">
        <v>0</v>
      </c>
      <c r="X29" s="70">
        <v>7680</v>
      </c>
      <c r="Y29" s="71">
        <f t="shared" ref="Y29:Y38" si="19">SUM(V29:X29)</f>
        <v>8327.7000000000007</v>
      </c>
      <c r="Z29" s="72">
        <v>0</v>
      </c>
      <c r="AA29" s="20">
        <f t="shared" ref="AA29:AA38" si="20">Y29+Z29</f>
        <v>8327.7000000000007</v>
      </c>
      <c r="AB29" s="21">
        <f t="shared" si="12"/>
        <v>0.96642683068353263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6031</v>
      </c>
      <c r="E30" s="74">
        <v>0</v>
      </c>
      <c r="F30" s="74">
        <v>0</v>
      </c>
      <c r="G30" s="71">
        <f t="shared" si="13"/>
        <v>6031</v>
      </c>
      <c r="H30" s="71">
        <v>0</v>
      </c>
      <c r="I30" s="20">
        <f t="shared" si="14"/>
        <v>6031</v>
      </c>
      <c r="J30" s="74">
        <v>11720.3</v>
      </c>
      <c r="K30" s="74">
        <v>0</v>
      </c>
      <c r="L30" s="74">
        <v>0</v>
      </c>
      <c r="M30" s="71">
        <f t="shared" si="15"/>
        <v>11720.3</v>
      </c>
      <c r="N30" s="71">
        <v>0</v>
      </c>
      <c r="O30" s="20">
        <f t="shared" si="16"/>
        <v>11720.3</v>
      </c>
      <c r="P30" s="75">
        <v>4320</v>
      </c>
      <c r="Q30" s="74">
        <v>0</v>
      </c>
      <c r="R30" s="74">
        <v>0</v>
      </c>
      <c r="S30" s="71">
        <f t="shared" si="17"/>
        <v>4320</v>
      </c>
      <c r="T30" s="71"/>
      <c r="U30" s="20">
        <f t="shared" si="18"/>
        <v>4320</v>
      </c>
      <c r="V30" s="75">
        <v>10316.299999999999</v>
      </c>
      <c r="W30" s="74">
        <v>0</v>
      </c>
      <c r="X30" s="74">
        <v>0</v>
      </c>
      <c r="Y30" s="71">
        <f t="shared" si="19"/>
        <v>10316.299999999999</v>
      </c>
      <c r="Z30" s="71">
        <v>0</v>
      </c>
      <c r="AA30" s="20">
        <f t="shared" si="20"/>
        <v>10316.299999999999</v>
      </c>
      <c r="AB30" s="21">
        <f t="shared" si="12"/>
        <v>0.88020784450909961</v>
      </c>
      <c r="AC30" s="3"/>
      <c r="AD30" s="3"/>
    </row>
    <row r="31" spans="1:30" x14ac:dyDescent="0.25">
      <c r="A31" s="1"/>
      <c r="B31" s="22" t="s">
        <v>56</v>
      </c>
      <c r="C31" s="41" t="s">
        <v>57</v>
      </c>
      <c r="D31" s="74">
        <v>1522</v>
      </c>
      <c r="E31" s="74">
        <v>8</v>
      </c>
      <c r="F31" s="74">
        <v>156</v>
      </c>
      <c r="G31" s="71">
        <f t="shared" si="13"/>
        <v>1686</v>
      </c>
      <c r="H31" s="71">
        <v>1</v>
      </c>
      <c r="I31" s="20">
        <f t="shared" si="14"/>
        <v>1687</v>
      </c>
      <c r="J31" s="74">
        <v>1400</v>
      </c>
      <c r="K31" s="74">
        <v>250</v>
      </c>
      <c r="L31" s="74">
        <v>900</v>
      </c>
      <c r="M31" s="71">
        <f t="shared" si="15"/>
        <v>2550</v>
      </c>
      <c r="N31" s="71">
        <v>2</v>
      </c>
      <c r="O31" s="20">
        <f t="shared" si="16"/>
        <v>2552</v>
      </c>
      <c r="P31" s="75">
        <v>883</v>
      </c>
      <c r="Q31" s="74">
        <v>88</v>
      </c>
      <c r="R31" s="74">
        <v>261</v>
      </c>
      <c r="S31" s="71">
        <f t="shared" si="17"/>
        <v>1232</v>
      </c>
      <c r="T31" s="71"/>
      <c r="U31" s="20">
        <f t="shared" si="18"/>
        <v>1232</v>
      </c>
      <c r="V31" s="75">
        <v>1400</v>
      </c>
      <c r="W31" s="74">
        <v>100</v>
      </c>
      <c r="X31" s="74">
        <v>970</v>
      </c>
      <c r="Y31" s="71">
        <f t="shared" si="19"/>
        <v>2470</v>
      </c>
      <c r="Z31" s="71">
        <v>0</v>
      </c>
      <c r="AA31" s="20">
        <f t="shared" si="20"/>
        <v>2470</v>
      </c>
      <c r="AB31" s="21">
        <f t="shared" si="12"/>
        <v>0.9678683385579937</v>
      </c>
      <c r="AC31" s="3"/>
      <c r="AD31" s="3"/>
    </row>
    <row r="32" spans="1:30" x14ac:dyDescent="0.25">
      <c r="A32" s="1"/>
      <c r="B32" s="22" t="s">
        <v>58</v>
      </c>
      <c r="C32" s="41" t="s">
        <v>59</v>
      </c>
      <c r="D32" s="74">
        <v>1005</v>
      </c>
      <c r="E32" s="74">
        <v>79724</v>
      </c>
      <c r="F32" s="74">
        <v>0</v>
      </c>
      <c r="G32" s="71">
        <f t="shared" si="13"/>
        <v>80729</v>
      </c>
      <c r="H32" s="71">
        <v>0</v>
      </c>
      <c r="I32" s="20">
        <f t="shared" si="14"/>
        <v>80729</v>
      </c>
      <c r="J32" s="74">
        <v>1115</v>
      </c>
      <c r="K32" s="74">
        <f>SUM(K33:K34)</f>
        <v>81735</v>
      </c>
      <c r="L32" s="74">
        <v>0</v>
      </c>
      <c r="M32" s="71">
        <f t="shared" si="15"/>
        <v>82850</v>
      </c>
      <c r="N32" s="71">
        <v>0</v>
      </c>
      <c r="O32" s="20">
        <f t="shared" si="16"/>
        <v>82850</v>
      </c>
      <c r="P32" s="75">
        <v>189</v>
      </c>
      <c r="Q32" s="74">
        <v>41955</v>
      </c>
      <c r="R32" s="74">
        <v>0</v>
      </c>
      <c r="S32" s="71">
        <f t="shared" si="17"/>
        <v>42144</v>
      </c>
      <c r="T32" s="71"/>
      <c r="U32" s="20">
        <f t="shared" si="18"/>
        <v>42144</v>
      </c>
      <c r="V32" s="75">
        <v>1115</v>
      </c>
      <c r="W32" s="74">
        <f>SUM(W33:W34)</f>
        <v>83140</v>
      </c>
      <c r="X32" s="74">
        <v>0</v>
      </c>
      <c r="Y32" s="71">
        <f t="shared" si="19"/>
        <v>84255</v>
      </c>
      <c r="Z32" s="71">
        <v>0</v>
      </c>
      <c r="AA32" s="20">
        <f t="shared" si="20"/>
        <v>84255</v>
      </c>
      <c r="AB32" s="21">
        <f t="shared" si="12"/>
        <v>1.0169583584791793</v>
      </c>
      <c r="AC32" s="3"/>
      <c r="AD32" s="3"/>
    </row>
    <row r="33" spans="1:30" x14ac:dyDescent="0.25">
      <c r="A33" s="1"/>
      <c r="B33" s="22" t="s">
        <v>60</v>
      </c>
      <c r="C33" s="35" t="s">
        <v>61</v>
      </c>
      <c r="D33" s="74">
        <v>1005</v>
      </c>
      <c r="E33" s="74">
        <v>79589</v>
      </c>
      <c r="F33" s="74">
        <v>0</v>
      </c>
      <c r="G33" s="71">
        <f t="shared" si="13"/>
        <v>80594</v>
      </c>
      <c r="H33" s="71">
        <v>0</v>
      </c>
      <c r="I33" s="20">
        <f t="shared" si="14"/>
        <v>80594</v>
      </c>
      <c r="J33" s="74">
        <v>1115</v>
      </c>
      <c r="K33" s="74">
        <v>81700</v>
      </c>
      <c r="L33" s="74">
        <v>0</v>
      </c>
      <c r="M33" s="71">
        <f t="shared" si="15"/>
        <v>82815</v>
      </c>
      <c r="N33" s="71">
        <v>0</v>
      </c>
      <c r="O33" s="20">
        <f t="shared" si="16"/>
        <v>82815</v>
      </c>
      <c r="P33" s="75">
        <v>189</v>
      </c>
      <c r="Q33" s="74">
        <v>41934</v>
      </c>
      <c r="R33" s="74">
        <v>0</v>
      </c>
      <c r="S33" s="71">
        <f t="shared" si="17"/>
        <v>42123</v>
      </c>
      <c r="T33" s="71"/>
      <c r="U33" s="20">
        <f t="shared" si="18"/>
        <v>42123</v>
      </c>
      <c r="V33" s="75">
        <v>1115</v>
      </c>
      <c r="W33" s="74">
        <v>83100</v>
      </c>
      <c r="X33" s="74">
        <v>0</v>
      </c>
      <c r="Y33" s="71">
        <f t="shared" si="19"/>
        <v>84215</v>
      </c>
      <c r="Z33" s="71">
        <v>0</v>
      </c>
      <c r="AA33" s="20">
        <f t="shared" si="20"/>
        <v>84215</v>
      </c>
      <c r="AB33" s="21">
        <f t="shared" si="12"/>
        <v>1.0169051500332065</v>
      </c>
      <c r="AC33" s="3"/>
      <c r="AD33" s="3"/>
    </row>
    <row r="34" spans="1:30" x14ac:dyDescent="0.25">
      <c r="A34" s="1"/>
      <c r="B34" s="22" t="s">
        <v>62</v>
      </c>
      <c r="C34" s="78" t="s">
        <v>63</v>
      </c>
      <c r="D34" s="74">
        <v>0</v>
      </c>
      <c r="E34" s="74">
        <v>135</v>
      </c>
      <c r="F34" s="74">
        <v>0</v>
      </c>
      <c r="G34" s="71">
        <f t="shared" si="13"/>
        <v>135</v>
      </c>
      <c r="H34" s="71">
        <v>0</v>
      </c>
      <c r="I34" s="20">
        <f t="shared" si="14"/>
        <v>135</v>
      </c>
      <c r="J34" s="74">
        <v>0</v>
      </c>
      <c r="K34" s="74">
        <v>35</v>
      </c>
      <c r="L34" s="74">
        <v>0</v>
      </c>
      <c r="M34" s="71">
        <f>SUM(J34:L34)</f>
        <v>35</v>
      </c>
      <c r="N34" s="71">
        <v>0</v>
      </c>
      <c r="O34" s="20">
        <f t="shared" si="16"/>
        <v>35</v>
      </c>
      <c r="P34" s="75">
        <v>0</v>
      </c>
      <c r="Q34" s="74">
        <v>21</v>
      </c>
      <c r="R34" s="74">
        <v>0</v>
      </c>
      <c r="S34" s="71">
        <f t="shared" si="17"/>
        <v>21</v>
      </c>
      <c r="T34" s="71"/>
      <c r="U34" s="20">
        <f t="shared" si="18"/>
        <v>21</v>
      </c>
      <c r="V34" s="75">
        <v>0</v>
      </c>
      <c r="W34" s="74">
        <v>40</v>
      </c>
      <c r="X34" s="74">
        <v>0</v>
      </c>
      <c r="Y34" s="71">
        <f t="shared" si="19"/>
        <v>40</v>
      </c>
      <c r="Z34" s="71">
        <v>0</v>
      </c>
      <c r="AA34" s="20">
        <f t="shared" si="20"/>
        <v>40</v>
      </c>
      <c r="AB34" s="21">
        <f t="shared" si="12"/>
        <v>1.1428571428571428</v>
      </c>
      <c r="AC34" s="3"/>
      <c r="AD34" s="3"/>
    </row>
    <row r="35" spans="1:30" x14ac:dyDescent="0.25">
      <c r="A35" s="1"/>
      <c r="B35" s="22" t="s">
        <v>64</v>
      </c>
      <c r="C35" s="41" t="s">
        <v>65</v>
      </c>
      <c r="D35" s="74">
        <v>339</v>
      </c>
      <c r="E35" s="74">
        <v>26575</v>
      </c>
      <c r="F35" s="74">
        <v>0</v>
      </c>
      <c r="G35" s="71">
        <f t="shared" si="13"/>
        <v>26914</v>
      </c>
      <c r="H35" s="71">
        <v>0</v>
      </c>
      <c r="I35" s="20">
        <f t="shared" si="14"/>
        <v>26914</v>
      </c>
      <c r="J35" s="74">
        <v>380</v>
      </c>
      <c r="K35" s="74">
        <v>27700</v>
      </c>
      <c r="L35" s="74">
        <v>0</v>
      </c>
      <c r="M35" s="71">
        <f t="shared" si="15"/>
        <v>28080</v>
      </c>
      <c r="N35" s="71">
        <v>0</v>
      </c>
      <c r="O35" s="20">
        <f t="shared" si="16"/>
        <v>28080</v>
      </c>
      <c r="P35" s="75">
        <v>67</v>
      </c>
      <c r="Q35" s="74">
        <f>SUM(13977+276+3+158)</f>
        <v>14414</v>
      </c>
      <c r="R35" s="74">
        <v>0</v>
      </c>
      <c r="S35" s="71">
        <f t="shared" si="17"/>
        <v>14481</v>
      </c>
      <c r="T35" s="71"/>
      <c r="U35" s="20">
        <f t="shared" si="18"/>
        <v>14481</v>
      </c>
      <c r="V35" s="75">
        <v>380</v>
      </c>
      <c r="W35" s="74">
        <v>27900</v>
      </c>
      <c r="X35" s="74">
        <v>0</v>
      </c>
      <c r="Y35" s="71">
        <f t="shared" si="19"/>
        <v>28280</v>
      </c>
      <c r="Z35" s="71">
        <v>0</v>
      </c>
      <c r="AA35" s="20">
        <f t="shared" si="20"/>
        <v>28280</v>
      </c>
      <c r="AB35" s="21">
        <f t="shared" si="12"/>
        <v>1.0071225071225072</v>
      </c>
      <c r="AC35" s="3"/>
      <c r="AD35" s="3"/>
    </row>
    <row r="36" spans="1:30" x14ac:dyDescent="0.25">
      <c r="A36" s="1"/>
      <c r="B36" s="22" t="s">
        <v>66</v>
      </c>
      <c r="C36" s="41" t="s">
        <v>67</v>
      </c>
      <c r="D36" s="74">
        <v>0</v>
      </c>
      <c r="E36" s="74">
        <v>0</v>
      </c>
      <c r="F36" s="74">
        <v>0</v>
      </c>
      <c r="G36" s="71">
        <f t="shared" si="13"/>
        <v>0</v>
      </c>
      <c r="H36" s="71">
        <v>0</v>
      </c>
      <c r="I36" s="20">
        <f t="shared" si="14"/>
        <v>0</v>
      </c>
      <c r="J36" s="74">
        <v>0</v>
      </c>
      <c r="K36" s="74">
        <v>0</v>
      </c>
      <c r="L36" s="74">
        <v>0</v>
      </c>
      <c r="M36" s="71">
        <f t="shared" si="15"/>
        <v>0</v>
      </c>
      <c r="N36" s="71">
        <v>0</v>
      </c>
      <c r="O36" s="20">
        <f t="shared" si="16"/>
        <v>0</v>
      </c>
      <c r="P36" s="75">
        <v>0</v>
      </c>
      <c r="Q36" s="74">
        <v>0</v>
      </c>
      <c r="R36" s="74">
        <v>0</v>
      </c>
      <c r="S36" s="71">
        <f t="shared" si="17"/>
        <v>0</v>
      </c>
      <c r="T36" s="71"/>
      <c r="U36" s="20">
        <f t="shared" si="18"/>
        <v>0</v>
      </c>
      <c r="V36" s="75">
        <v>0</v>
      </c>
      <c r="W36" s="74">
        <v>0</v>
      </c>
      <c r="X36" s="74">
        <v>0</v>
      </c>
      <c r="Y36" s="71">
        <f t="shared" si="19"/>
        <v>0</v>
      </c>
      <c r="Z36" s="71">
        <v>0</v>
      </c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68</v>
      </c>
      <c r="C37" s="41" t="s">
        <v>69</v>
      </c>
      <c r="D37" s="74">
        <v>1432.1</v>
      </c>
      <c r="E37" s="74">
        <v>0</v>
      </c>
      <c r="F37" s="74">
        <v>215.9</v>
      </c>
      <c r="G37" s="71">
        <f t="shared" si="13"/>
        <v>1648</v>
      </c>
      <c r="H37" s="71">
        <v>0</v>
      </c>
      <c r="I37" s="20">
        <f t="shared" si="14"/>
        <v>1648</v>
      </c>
      <c r="J37" s="74">
        <v>1503</v>
      </c>
      <c r="K37" s="74">
        <v>0</v>
      </c>
      <c r="L37" s="74">
        <v>371</v>
      </c>
      <c r="M37" s="71">
        <f t="shared" si="15"/>
        <v>1874</v>
      </c>
      <c r="N37" s="71">
        <v>0</v>
      </c>
      <c r="O37" s="20">
        <f t="shared" si="16"/>
        <v>1874</v>
      </c>
      <c r="P37" s="75">
        <f>SUM(999-R37)</f>
        <v>766</v>
      </c>
      <c r="Q37" s="74">
        <v>0</v>
      </c>
      <c r="R37" s="74">
        <v>233</v>
      </c>
      <c r="S37" s="71">
        <f t="shared" si="17"/>
        <v>999</v>
      </c>
      <c r="T37" s="71"/>
      <c r="U37" s="20">
        <f t="shared" si="18"/>
        <v>999</v>
      </c>
      <c r="V37" s="75">
        <v>1476</v>
      </c>
      <c r="W37" s="74">
        <v>0</v>
      </c>
      <c r="X37" s="74">
        <v>275</v>
      </c>
      <c r="Y37" s="71">
        <f t="shared" si="19"/>
        <v>1751</v>
      </c>
      <c r="Z37" s="71">
        <v>0</v>
      </c>
      <c r="AA37" s="20">
        <f t="shared" si="20"/>
        <v>1751</v>
      </c>
      <c r="AB37" s="21">
        <f t="shared" si="12"/>
        <v>0.93436499466382072</v>
      </c>
      <c r="AC37" s="3"/>
      <c r="AD37" s="3"/>
    </row>
    <row r="38" spans="1:30" ht="15.75" thickBot="1" x14ac:dyDescent="0.3">
      <c r="A38" s="1"/>
      <c r="B38" s="79" t="s">
        <v>70</v>
      </c>
      <c r="C38" s="80" t="s">
        <v>71</v>
      </c>
      <c r="D38" s="74">
        <v>986</v>
      </c>
      <c r="E38" s="81">
        <v>2277</v>
      </c>
      <c r="F38" s="81">
        <v>806</v>
      </c>
      <c r="G38" s="71">
        <f t="shared" si="13"/>
        <v>4069</v>
      </c>
      <c r="H38" s="82">
        <v>0</v>
      </c>
      <c r="I38" s="50">
        <f t="shared" si="14"/>
        <v>4069</v>
      </c>
      <c r="J38" s="81">
        <v>707.7</v>
      </c>
      <c r="K38" s="81">
        <v>3293</v>
      </c>
      <c r="L38" s="81">
        <v>500</v>
      </c>
      <c r="M38" s="82">
        <f t="shared" si="15"/>
        <v>4500.7</v>
      </c>
      <c r="N38" s="82">
        <v>0</v>
      </c>
      <c r="O38" s="50">
        <f t="shared" si="16"/>
        <v>4500.7</v>
      </c>
      <c r="P38" s="83">
        <v>469</v>
      </c>
      <c r="Q38" s="81">
        <f>SUM(826+15+435+74+30+4)</f>
        <v>1384</v>
      </c>
      <c r="R38" s="81">
        <v>139</v>
      </c>
      <c r="S38" s="82">
        <f t="shared" si="17"/>
        <v>1992</v>
      </c>
      <c r="T38" s="82"/>
      <c r="U38" s="50">
        <f t="shared" si="18"/>
        <v>1992</v>
      </c>
      <c r="V38" s="83">
        <v>650</v>
      </c>
      <c r="W38" s="81">
        <v>2860</v>
      </c>
      <c r="X38" s="81">
        <v>300</v>
      </c>
      <c r="Y38" s="82">
        <f t="shared" si="19"/>
        <v>3810</v>
      </c>
      <c r="Z38" s="82">
        <v>0</v>
      </c>
      <c r="AA38" s="50">
        <f t="shared" si="20"/>
        <v>3810</v>
      </c>
      <c r="AB38" s="51">
        <f t="shared" si="12"/>
        <v>0.84653498344701938</v>
      </c>
      <c r="AC38" s="3"/>
      <c r="AD38" s="3"/>
    </row>
    <row r="39" spans="1:30" ht="15.75" thickBot="1" x14ac:dyDescent="0.3">
      <c r="A39" s="1"/>
      <c r="B39" s="52" t="s">
        <v>72</v>
      </c>
      <c r="C39" s="84" t="s">
        <v>73</v>
      </c>
      <c r="D39" s="85">
        <f>SUM(D35:D38)+SUM(D28:D32)</f>
        <v>12742.1</v>
      </c>
      <c r="E39" s="85">
        <f>SUM(E35:E38)+SUM(E28:E32)</f>
        <v>108634</v>
      </c>
      <c r="F39" s="85">
        <f>SUM(F35:F38)+SUM(F28:F32)</f>
        <v>7451.9</v>
      </c>
      <c r="G39" s="86">
        <f>SUM(D39:F39)</f>
        <v>128828</v>
      </c>
      <c r="H39" s="87">
        <f>SUM(H28:H32)+SUM(H35:H38)</f>
        <v>1</v>
      </c>
      <c r="I39" s="88">
        <f>SUM(I35:I38)+SUM(I28:I32)</f>
        <v>128829</v>
      </c>
      <c r="J39" s="85">
        <f>SUM(J35:J38)+SUM(J28:J32)</f>
        <v>18143</v>
      </c>
      <c r="K39" s="85">
        <f>SUM(K35:K38)+SUM(K28:K32)</f>
        <v>113128</v>
      </c>
      <c r="L39" s="85">
        <f>SUM(L35:L38)+SUM(L28:L32)</f>
        <v>10421</v>
      </c>
      <c r="M39" s="86">
        <f>SUM(J39:L39)</f>
        <v>141692</v>
      </c>
      <c r="N39" s="87">
        <f>SUM(N28:N32)+SUM(N35:N38)</f>
        <v>2</v>
      </c>
      <c r="O39" s="88">
        <f>SUM(O35:O38)+SUM(O28:O32)</f>
        <v>141694</v>
      </c>
      <c r="P39" s="85">
        <f>SUM(P35:P38)+SUM(P28:P32)</f>
        <v>7437</v>
      </c>
      <c r="Q39" s="85">
        <f>SUM(Q35:Q38)+SUM(Q28:Q32)</f>
        <v>57904</v>
      </c>
      <c r="R39" s="85">
        <f>SUM(R35:R38)+SUM(R28:R32)</f>
        <v>5005</v>
      </c>
      <c r="S39" s="86">
        <f>SUM(P39:R39)</f>
        <v>70346</v>
      </c>
      <c r="T39" s="87">
        <f>SUM(T28:T32)+SUM(T35:T38)</f>
        <v>0</v>
      </c>
      <c r="U39" s="88">
        <f>SUM(U35:U38)+SUM(U28:U32)</f>
        <v>70346</v>
      </c>
      <c r="V39" s="85">
        <f>SUM(V35:V38)+SUM(V28:V32)</f>
        <v>16585</v>
      </c>
      <c r="W39" s="85">
        <f>SUM(W35:W38)+SUM(W28:W32)</f>
        <v>114000</v>
      </c>
      <c r="X39" s="85">
        <f>SUM(X35:X38)+SUM(X28:X32)</f>
        <v>10325</v>
      </c>
      <c r="Y39" s="86">
        <f>SUM(V39:X39)</f>
        <v>140910</v>
      </c>
      <c r="Z39" s="87">
        <f>SUM(Z28:Z32)+SUM(Z35:Z38)</f>
        <v>0</v>
      </c>
      <c r="AA39" s="88">
        <f>SUM(AA35:AA38)+SUM(AA28:AA32)</f>
        <v>140910</v>
      </c>
      <c r="AB39" s="89">
        <f t="shared" si="12"/>
        <v>0.99446694990613571</v>
      </c>
      <c r="AC39" s="3"/>
      <c r="AD39" s="3"/>
    </row>
    <row r="40" spans="1:30" ht="19.5" thickBot="1" x14ac:dyDescent="0.35">
      <c r="A40" s="1"/>
      <c r="B40" s="90" t="s">
        <v>74</v>
      </c>
      <c r="C40" s="91" t="s">
        <v>75</v>
      </c>
      <c r="D40" s="92">
        <f t="shared" ref="D40:AA40" si="21">D24-D39</f>
        <v>-237</v>
      </c>
      <c r="E40" s="92">
        <f t="shared" si="21"/>
        <v>0</v>
      </c>
      <c r="F40" s="92">
        <f t="shared" si="21"/>
        <v>126</v>
      </c>
      <c r="G40" s="93">
        <f t="shared" si="21"/>
        <v>-111</v>
      </c>
      <c r="H40" s="93">
        <f t="shared" si="21"/>
        <v>116</v>
      </c>
      <c r="I40" s="94">
        <f t="shared" si="21"/>
        <v>5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112</v>
      </c>
      <c r="O40" s="94">
        <f t="shared" si="21"/>
        <v>112</v>
      </c>
      <c r="P40" s="92">
        <f t="shared" si="21"/>
        <v>-1125.5</v>
      </c>
      <c r="Q40" s="92">
        <f t="shared" si="21"/>
        <v>-1330</v>
      </c>
      <c r="R40" s="92">
        <f t="shared" si="21"/>
        <v>711</v>
      </c>
      <c r="S40" s="93">
        <f t="shared" si="21"/>
        <v>-1744.5</v>
      </c>
      <c r="T40" s="93">
        <f t="shared" si="21"/>
        <v>0</v>
      </c>
      <c r="U40" s="94">
        <f t="shared" si="21"/>
        <v>-1744.5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100</v>
      </c>
      <c r="AA40" s="94">
        <f t="shared" si="21"/>
        <v>100</v>
      </c>
      <c r="AB40" s="95">
        <f t="shared" si="12"/>
        <v>0.8928571428571429</v>
      </c>
      <c r="AC40" s="3"/>
      <c r="AD40" s="3"/>
    </row>
    <row r="41" spans="1:30" ht="15.75" thickBot="1" x14ac:dyDescent="0.3">
      <c r="A41" s="1"/>
      <c r="B41" s="96" t="s">
        <v>76</v>
      </c>
      <c r="C41" s="97" t="s">
        <v>77</v>
      </c>
      <c r="D41" s="98"/>
      <c r="E41" s="99"/>
      <c r="F41" s="99"/>
      <c r="G41" s="100"/>
      <c r="H41" s="101"/>
      <c r="I41" s="102">
        <f>I40-D16</f>
        <v>-12217.4</v>
      </c>
      <c r="J41" s="98"/>
      <c r="K41" s="99"/>
      <c r="L41" s="99"/>
      <c r="M41" s="100"/>
      <c r="N41" s="103"/>
      <c r="O41" s="102">
        <f>O40-J16</f>
        <v>-13926.6</v>
      </c>
      <c r="P41" s="98"/>
      <c r="Q41" s="99"/>
      <c r="R41" s="99"/>
      <c r="S41" s="100"/>
      <c r="T41" s="103"/>
      <c r="U41" s="102">
        <f>U40-P16</f>
        <v>-7983.1</v>
      </c>
      <c r="V41" s="98"/>
      <c r="W41" s="99"/>
      <c r="X41" s="99"/>
      <c r="Y41" s="100"/>
      <c r="Z41" s="103"/>
      <c r="AA41" s="102">
        <f>AA40-V16</f>
        <v>-16213.3</v>
      </c>
      <c r="AB41" s="21">
        <f t="shared" si="12"/>
        <v>1.1641965734637312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928" t="s">
        <v>78</v>
      </c>
      <c r="D43" s="112" t="s">
        <v>79</v>
      </c>
      <c r="E43" s="113" t="s">
        <v>80</v>
      </c>
      <c r="F43" s="114" t="s">
        <v>81</v>
      </c>
      <c r="G43" s="108"/>
      <c r="H43" s="108"/>
      <c r="I43" s="115"/>
      <c r="J43" s="112" t="s">
        <v>79</v>
      </c>
      <c r="K43" s="113" t="s">
        <v>80</v>
      </c>
      <c r="L43" s="114" t="s">
        <v>81</v>
      </c>
      <c r="M43" s="108"/>
      <c r="N43" s="108"/>
      <c r="O43" s="108"/>
      <c r="P43" s="112" t="s">
        <v>79</v>
      </c>
      <c r="Q43" s="113" t="s">
        <v>80</v>
      </c>
      <c r="R43" s="114" t="s">
        <v>81</v>
      </c>
      <c r="S43" s="109"/>
      <c r="T43" s="109"/>
      <c r="U43" s="109"/>
      <c r="V43" s="112" t="s">
        <v>79</v>
      </c>
      <c r="W43" s="113" t="s">
        <v>80</v>
      </c>
      <c r="X43" s="114" t="s">
        <v>81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929"/>
      <c r="D44" s="116">
        <v>1097</v>
      </c>
      <c r="E44" s="117">
        <v>1097</v>
      </c>
      <c r="F44" s="118">
        <v>0</v>
      </c>
      <c r="G44" s="108"/>
      <c r="H44" s="108"/>
      <c r="I44" s="115"/>
      <c r="J44" s="116">
        <v>1120</v>
      </c>
      <c r="K44" s="117">
        <v>1120</v>
      </c>
      <c r="L44" s="118">
        <v>0</v>
      </c>
      <c r="M44" s="119"/>
      <c r="N44" s="119"/>
      <c r="O44" s="119"/>
      <c r="P44" s="116">
        <v>1120</v>
      </c>
      <c r="Q44" s="117">
        <v>1120</v>
      </c>
      <c r="R44" s="118">
        <v>0</v>
      </c>
      <c r="S44" s="3"/>
      <c r="T44" s="3"/>
      <c r="U44" s="3"/>
      <c r="V44" s="116">
        <v>1120</v>
      </c>
      <c r="W44" s="117">
        <v>1120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928" t="s">
        <v>82</v>
      </c>
      <c r="D46" s="120" t="s">
        <v>83</v>
      </c>
      <c r="E46" s="121" t="s">
        <v>84</v>
      </c>
      <c r="F46" s="108"/>
      <c r="G46" s="108"/>
      <c r="H46" s="108"/>
      <c r="I46" s="115"/>
      <c r="J46" s="120" t="s">
        <v>83</v>
      </c>
      <c r="K46" s="121" t="s">
        <v>84</v>
      </c>
      <c r="L46" s="122"/>
      <c r="M46" s="122"/>
      <c r="N46" s="109"/>
      <c r="O46" s="109"/>
      <c r="P46" s="120" t="s">
        <v>83</v>
      </c>
      <c r="Q46" s="121" t="s">
        <v>84</v>
      </c>
      <c r="R46" s="109"/>
      <c r="S46" s="109"/>
      <c r="T46" s="109"/>
      <c r="U46" s="109"/>
      <c r="V46" s="120" t="s">
        <v>83</v>
      </c>
      <c r="W46" s="121" t="s">
        <v>84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930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500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85</v>
      </c>
      <c r="D49" s="127" t="s">
        <v>86</v>
      </c>
      <c r="E49" s="127" t="s">
        <v>87</v>
      </c>
      <c r="F49" s="127" t="s">
        <v>88</v>
      </c>
      <c r="G49" s="127" t="s">
        <v>89</v>
      </c>
      <c r="H49" s="108"/>
      <c r="I49" s="3"/>
      <c r="J49" s="127" t="s">
        <v>86</v>
      </c>
      <c r="K49" s="127" t="s">
        <v>87</v>
      </c>
      <c r="L49" s="127" t="s">
        <v>88</v>
      </c>
      <c r="M49" s="127" t="s">
        <v>90</v>
      </c>
      <c r="N49" s="3"/>
      <c r="O49" s="3"/>
      <c r="P49" s="127" t="s">
        <v>86</v>
      </c>
      <c r="Q49" s="127" t="s">
        <v>87</v>
      </c>
      <c r="R49" s="127" t="s">
        <v>88</v>
      </c>
      <c r="S49" s="127" t="s">
        <v>90</v>
      </c>
      <c r="T49" s="3"/>
      <c r="U49" s="3"/>
      <c r="V49" s="127" t="s">
        <v>92</v>
      </c>
      <c r="W49" s="127" t="s">
        <v>87</v>
      </c>
      <c r="X49" s="127" t="s">
        <v>88</v>
      </c>
      <c r="Y49" s="127" t="s">
        <v>90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>
        <f>SUM(D51:D54)</f>
        <v>3018</v>
      </c>
      <c r="E50" s="129">
        <f>SUM(E51:E54)</f>
        <v>4676</v>
      </c>
      <c r="F50" s="129">
        <f>SUM(F51:F54)</f>
        <v>4553</v>
      </c>
      <c r="G50" s="130">
        <f>D50+E50-F50</f>
        <v>3141</v>
      </c>
      <c r="H50" s="108"/>
      <c r="I50" s="3"/>
      <c r="J50" s="129">
        <f>SUM(J51:J54)</f>
        <v>3141</v>
      </c>
      <c r="K50" s="129">
        <f>SUM(K51:K54)</f>
        <v>1650</v>
      </c>
      <c r="L50" s="129">
        <f>SUM(L51:L54)</f>
        <v>3751</v>
      </c>
      <c r="M50" s="130">
        <f>J50+K50-L50</f>
        <v>1040</v>
      </c>
      <c r="N50" s="3"/>
      <c r="O50" s="3"/>
      <c r="P50" s="129">
        <f>SUM(P51:P54)</f>
        <v>3141</v>
      </c>
      <c r="Q50" s="129">
        <f>SUM(Q51:Q54)</f>
        <v>3331</v>
      </c>
      <c r="R50" s="129">
        <f>SUM(R51:R54)</f>
        <v>5247</v>
      </c>
      <c r="S50" s="130">
        <f>P50+Q50-R50</f>
        <v>1225</v>
      </c>
      <c r="T50" s="3"/>
      <c r="U50" s="3"/>
      <c r="V50" s="129">
        <v>1225</v>
      </c>
      <c r="W50" s="129">
        <f>SUM(W51:W54)</f>
        <v>3402</v>
      </c>
      <c r="X50" s="129">
        <f>SUM(X51:X54)</f>
        <v>3270</v>
      </c>
      <c r="Y50" s="130">
        <f>V50+W50-X50</f>
        <v>1357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1762</v>
      </c>
      <c r="E51" s="129">
        <v>1459</v>
      </c>
      <c r="F51" s="129">
        <v>1895</v>
      </c>
      <c r="G51" s="130">
        <f t="shared" ref="G51:G54" si="22">D51+E51-F51</f>
        <v>1326</v>
      </c>
      <c r="H51" s="108"/>
      <c r="I51" s="3"/>
      <c r="J51" s="129">
        <v>1326</v>
      </c>
      <c r="K51" s="129">
        <v>46</v>
      </c>
      <c r="L51" s="129">
        <v>1165</v>
      </c>
      <c r="M51" s="130">
        <f t="shared" ref="M51:M54" si="23">J51+K51-L51</f>
        <v>207</v>
      </c>
      <c r="N51" s="3"/>
      <c r="O51" s="3"/>
      <c r="P51" s="129">
        <v>1326</v>
      </c>
      <c r="Q51" s="129">
        <v>90</v>
      </c>
      <c r="R51" s="129">
        <v>1210</v>
      </c>
      <c r="S51" s="130">
        <f t="shared" ref="S51:S54" si="24">P51+Q51-R51</f>
        <v>206</v>
      </c>
      <c r="T51" s="3"/>
      <c r="U51" s="3"/>
      <c r="V51" s="129">
        <v>206</v>
      </c>
      <c r="W51" s="129">
        <v>100</v>
      </c>
      <c r="X51" s="129">
        <v>150</v>
      </c>
      <c r="Y51" s="130">
        <f t="shared" ref="Y51:Y54" si="25">V51+W51-X51</f>
        <v>156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356</v>
      </c>
      <c r="E52" s="129">
        <v>1532</v>
      </c>
      <c r="F52" s="129">
        <v>1183</v>
      </c>
      <c r="G52" s="130">
        <f t="shared" si="22"/>
        <v>705</v>
      </c>
      <c r="H52" s="108"/>
      <c r="I52" s="3"/>
      <c r="J52" s="129">
        <v>705</v>
      </c>
      <c r="K52" s="129">
        <v>766</v>
      </c>
      <c r="L52" s="129">
        <v>1076</v>
      </c>
      <c r="M52" s="130">
        <f t="shared" si="23"/>
        <v>395</v>
      </c>
      <c r="N52" s="3"/>
      <c r="O52" s="3"/>
      <c r="P52" s="129">
        <v>705</v>
      </c>
      <c r="Q52" s="129">
        <v>1503</v>
      </c>
      <c r="R52" s="129">
        <v>1637</v>
      </c>
      <c r="S52" s="130">
        <f t="shared" si="24"/>
        <v>571</v>
      </c>
      <c r="T52" s="3"/>
      <c r="U52" s="3"/>
      <c r="V52" s="129">
        <v>571</v>
      </c>
      <c r="W52" s="129">
        <v>1452</v>
      </c>
      <c r="X52" s="129">
        <v>1320</v>
      </c>
      <c r="Y52" s="130">
        <f t="shared" si="25"/>
        <v>703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176</v>
      </c>
      <c r="E53" s="129">
        <v>74</v>
      </c>
      <c r="F53" s="129">
        <v>0</v>
      </c>
      <c r="G53" s="130">
        <f t="shared" si="22"/>
        <v>250</v>
      </c>
      <c r="H53" s="108"/>
      <c r="I53" s="3"/>
      <c r="J53" s="129">
        <v>250</v>
      </c>
      <c r="K53" s="129">
        <v>0</v>
      </c>
      <c r="L53" s="129">
        <v>0</v>
      </c>
      <c r="M53" s="130">
        <f t="shared" si="23"/>
        <v>250</v>
      </c>
      <c r="N53" s="3"/>
      <c r="O53" s="3"/>
      <c r="P53" s="129">
        <v>250</v>
      </c>
      <c r="Q53" s="129">
        <v>0</v>
      </c>
      <c r="R53" s="129">
        <v>0</v>
      </c>
      <c r="S53" s="130">
        <f t="shared" si="24"/>
        <v>250</v>
      </c>
      <c r="T53" s="3"/>
      <c r="U53" s="3"/>
      <c r="V53" s="129">
        <v>250</v>
      </c>
      <c r="W53" s="129">
        <v>0</v>
      </c>
      <c r="X53" s="129">
        <v>0</v>
      </c>
      <c r="Y53" s="130">
        <f t="shared" si="25"/>
        <v>250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3" t="s">
        <v>97</v>
      </c>
      <c r="D54" s="129">
        <v>724</v>
      </c>
      <c r="E54" s="129">
        <v>1611</v>
      </c>
      <c r="F54" s="129">
        <v>1475</v>
      </c>
      <c r="G54" s="130">
        <f t="shared" si="22"/>
        <v>860</v>
      </c>
      <c r="H54" s="108"/>
      <c r="I54" s="3"/>
      <c r="J54" s="129">
        <v>860</v>
      </c>
      <c r="K54" s="129">
        <v>838</v>
      </c>
      <c r="L54" s="129">
        <v>1510</v>
      </c>
      <c r="M54" s="130">
        <f t="shared" si="23"/>
        <v>188</v>
      </c>
      <c r="N54" s="3"/>
      <c r="O54" s="3"/>
      <c r="P54" s="129">
        <v>860</v>
      </c>
      <c r="Q54" s="129">
        <v>1738</v>
      </c>
      <c r="R54" s="129">
        <v>2400</v>
      </c>
      <c r="S54" s="130">
        <f t="shared" si="24"/>
        <v>198</v>
      </c>
      <c r="T54" s="3"/>
      <c r="U54" s="3"/>
      <c r="V54" s="129">
        <v>198</v>
      </c>
      <c r="W54" s="129">
        <v>1850</v>
      </c>
      <c r="X54" s="129">
        <v>1800</v>
      </c>
      <c r="Y54" s="130">
        <f t="shared" si="25"/>
        <v>248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4">
        <v>199</v>
      </c>
      <c r="E57" s="134">
        <v>213</v>
      </c>
      <c r="F57" s="108"/>
      <c r="G57" s="108"/>
      <c r="H57" s="108"/>
      <c r="I57" s="115"/>
      <c r="J57" s="134">
        <v>216</v>
      </c>
      <c r="K57" s="108"/>
      <c r="L57" s="108"/>
      <c r="M57" s="108"/>
      <c r="N57" s="108"/>
      <c r="O57" s="115"/>
      <c r="P57" s="134">
        <v>218</v>
      </c>
      <c r="Q57" s="115"/>
      <c r="R57" s="115"/>
      <c r="S57" s="115"/>
      <c r="T57" s="115"/>
      <c r="U57" s="115"/>
      <c r="V57" s="134">
        <v>216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5" t="s">
        <v>103</v>
      </c>
      <c r="C59" s="136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  <c r="O59" s="931"/>
      <c r="P59" s="931"/>
      <c r="Q59" s="931"/>
      <c r="R59" s="931"/>
      <c r="S59" s="931"/>
      <c r="T59" s="931"/>
      <c r="U59" s="931"/>
      <c r="V59" s="137"/>
      <c r="W59" s="137"/>
      <c r="X59" s="137"/>
      <c r="Y59" s="137"/>
      <c r="Z59" s="137"/>
      <c r="AA59" s="137"/>
      <c r="AB59" s="138"/>
      <c r="AC59" s="3"/>
      <c r="AD59" s="3"/>
    </row>
    <row r="60" spans="1:30" x14ac:dyDescent="0.25">
      <c r="A60" s="1"/>
      <c r="B60" t="s">
        <v>263</v>
      </c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0"/>
      <c r="AC60" s="3"/>
      <c r="AD60" s="3"/>
    </row>
    <row r="61" spans="1:30" x14ac:dyDescent="0.25">
      <c r="A61" s="1"/>
      <c r="B61" s="925"/>
      <c r="C61" s="921"/>
      <c r="D61" s="921"/>
      <c r="E61" s="921"/>
      <c r="F61" s="921"/>
      <c r="G61" s="921"/>
      <c r="H61" s="921"/>
      <c r="I61" s="921"/>
      <c r="J61" s="921"/>
      <c r="K61" s="921"/>
      <c r="L61" s="921"/>
      <c r="M61" s="921"/>
      <c r="N61" s="921"/>
      <c r="O61" s="921"/>
      <c r="P61" s="921"/>
      <c r="Q61" s="921"/>
      <c r="R61" s="921"/>
      <c r="S61" s="921"/>
      <c r="T61" s="921"/>
      <c r="U61" s="921"/>
      <c r="V61" s="110"/>
      <c r="W61" s="110"/>
      <c r="X61" s="110"/>
      <c r="Y61" s="110"/>
      <c r="Z61" s="110"/>
      <c r="AA61" s="110"/>
      <c r="AB61" s="140"/>
      <c r="AC61" s="3"/>
      <c r="AD61" s="3"/>
    </row>
    <row r="62" spans="1:30" x14ac:dyDescent="0.25">
      <c r="A62" s="1"/>
      <c r="V62" s="110"/>
      <c r="W62" s="110"/>
      <c r="X62" s="110"/>
      <c r="Y62" s="110"/>
      <c r="Z62" s="110"/>
      <c r="AA62" s="110"/>
      <c r="AB62" s="140"/>
      <c r="AC62" s="3"/>
      <c r="AD62" s="3"/>
    </row>
    <row r="63" spans="1:30" x14ac:dyDescent="0.25">
      <c r="A63" s="1"/>
      <c r="B63" s="925"/>
      <c r="C63" s="921"/>
      <c r="D63" s="921"/>
      <c r="E63" s="921"/>
      <c r="F63" s="921"/>
      <c r="G63" s="921"/>
      <c r="H63" s="921"/>
      <c r="I63" s="921"/>
      <c r="J63" s="921"/>
      <c r="K63" s="921"/>
      <c r="L63" s="921"/>
      <c r="M63" s="921"/>
      <c r="N63" s="921"/>
      <c r="O63" s="921"/>
      <c r="P63" s="921"/>
      <c r="Q63" s="921"/>
      <c r="R63" s="921"/>
      <c r="S63" s="921"/>
      <c r="T63" s="921"/>
      <c r="U63" s="921"/>
      <c r="V63" s="110"/>
      <c r="W63" s="110"/>
      <c r="X63" s="110"/>
      <c r="Y63" s="110"/>
      <c r="Z63" s="110"/>
      <c r="AA63" s="110"/>
      <c r="AB63" s="140"/>
      <c r="AC63" s="3"/>
      <c r="AD63" s="3"/>
    </row>
    <row r="64" spans="1:30" x14ac:dyDescent="0.25">
      <c r="A64" s="1"/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10"/>
      <c r="W64" s="110"/>
      <c r="X64" s="110"/>
      <c r="Y64" s="110"/>
      <c r="Z64" s="110"/>
      <c r="AA64" s="110"/>
      <c r="AB64" s="140"/>
      <c r="AC64" s="3"/>
      <c r="AD64" s="3"/>
    </row>
    <row r="65" spans="1:30" x14ac:dyDescent="0.25">
      <c r="A65" s="1"/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10"/>
      <c r="W65" s="110"/>
      <c r="X65" s="110"/>
      <c r="Y65" s="110"/>
      <c r="Z65" s="110"/>
      <c r="AA65" s="110"/>
      <c r="AB65" s="140"/>
      <c r="AC65" s="3"/>
      <c r="AD65" s="3"/>
    </row>
    <row r="66" spans="1:30" x14ac:dyDescent="0.25">
      <c r="A66" s="1"/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10"/>
      <c r="W66" s="110"/>
      <c r="X66" s="110"/>
      <c r="Y66" s="110"/>
      <c r="Z66" s="110"/>
      <c r="AA66" s="110"/>
      <c r="AB66" s="140"/>
      <c r="AC66" s="3"/>
      <c r="AD66" s="3"/>
    </row>
    <row r="67" spans="1:30" x14ac:dyDescent="0.25">
      <c r="A67" s="1"/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10"/>
      <c r="W67" s="110"/>
      <c r="X67" s="110"/>
      <c r="Y67" s="110"/>
      <c r="Z67" s="110"/>
      <c r="AA67" s="110"/>
      <c r="AB67" s="140"/>
      <c r="AC67" s="3"/>
      <c r="AD67" s="3"/>
    </row>
    <row r="68" spans="1:30" x14ac:dyDescent="0.25">
      <c r="A68" s="1"/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10"/>
      <c r="W68" s="110"/>
      <c r="X68" s="110"/>
      <c r="Y68" s="110"/>
      <c r="Z68" s="110"/>
      <c r="AA68" s="110"/>
      <c r="AB68" s="140"/>
      <c r="AC68" s="3"/>
      <c r="AD68" s="3"/>
    </row>
    <row r="69" spans="1:30" x14ac:dyDescent="0.25">
      <c r="A69" s="1"/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10"/>
      <c r="W69" s="110"/>
      <c r="X69" s="110"/>
      <c r="Y69" s="110"/>
      <c r="Z69" s="110"/>
      <c r="AA69" s="110"/>
      <c r="AB69" s="140"/>
      <c r="AC69" s="3"/>
      <c r="AD69" s="3"/>
    </row>
    <row r="70" spans="1:30" x14ac:dyDescent="0.25">
      <c r="A70" s="1"/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10"/>
      <c r="W70" s="110"/>
      <c r="X70" s="110"/>
      <c r="Y70" s="110"/>
      <c r="Z70" s="110"/>
      <c r="AA70" s="110"/>
      <c r="AB70" s="140"/>
      <c r="AC70" s="3"/>
      <c r="AD70" s="3"/>
    </row>
    <row r="71" spans="1:30" x14ac:dyDescent="0.25">
      <c r="A71" s="1"/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10"/>
      <c r="W71" s="110"/>
      <c r="X71" s="110"/>
      <c r="Y71" s="110"/>
      <c r="Z71" s="110"/>
      <c r="AA71" s="110"/>
      <c r="AB71" s="140"/>
      <c r="AC71" s="3"/>
      <c r="AD71" s="3"/>
    </row>
    <row r="72" spans="1:30" x14ac:dyDescent="0.25">
      <c r="A72" s="1"/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10"/>
      <c r="W72" s="110"/>
      <c r="X72" s="110"/>
      <c r="Y72" s="110"/>
      <c r="Z72" s="110"/>
      <c r="AA72" s="110"/>
      <c r="AB72" s="140"/>
      <c r="AC72" s="3"/>
      <c r="AD72" s="3"/>
    </row>
    <row r="73" spans="1:30" x14ac:dyDescent="0.25">
      <c r="A73" s="1"/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10"/>
      <c r="W73" s="110"/>
      <c r="X73" s="110"/>
      <c r="Y73" s="110"/>
      <c r="Z73" s="110"/>
      <c r="AA73" s="110"/>
      <c r="AB73" s="140"/>
      <c r="AC73" s="3"/>
      <c r="AD73" s="3"/>
    </row>
    <row r="74" spans="1:30" x14ac:dyDescent="0.25">
      <c r="A74" s="1"/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10"/>
      <c r="W74" s="110"/>
      <c r="X74" s="110"/>
      <c r="Y74" s="110"/>
      <c r="Z74" s="110"/>
      <c r="AA74" s="110"/>
      <c r="AB74" s="140"/>
      <c r="AC74" s="3"/>
      <c r="AD74" s="3"/>
    </row>
    <row r="75" spans="1:30" x14ac:dyDescent="0.25">
      <c r="A75" s="1"/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10"/>
      <c r="W75" s="110"/>
      <c r="X75" s="110"/>
      <c r="Y75" s="110"/>
      <c r="Z75" s="110"/>
      <c r="AA75" s="110"/>
      <c r="AB75" s="140"/>
      <c r="AC75" s="3"/>
      <c r="AD75" s="3"/>
    </row>
    <row r="76" spans="1:30" x14ac:dyDescent="0.25">
      <c r="A76" s="1"/>
      <c r="B76" s="14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10"/>
      <c r="W76" s="110"/>
      <c r="X76" s="110"/>
      <c r="Y76" s="110"/>
      <c r="Z76" s="110"/>
      <c r="AA76" s="110"/>
      <c r="AB76" s="140"/>
      <c r="AC76" s="3"/>
      <c r="AD76" s="3"/>
    </row>
    <row r="77" spans="1:30" x14ac:dyDescent="0.25">
      <c r="A77" s="1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10"/>
      <c r="W77" s="110"/>
      <c r="X77" s="110"/>
      <c r="Y77" s="110"/>
      <c r="Z77" s="110"/>
      <c r="AA77" s="110"/>
      <c r="AB77" s="140"/>
      <c r="AC77" s="3"/>
      <c r="AD77" s="3"/>
    </row>
    <row r="78" spans="1:30" x14ac:dyDescent="0.25">
      <c r="A78" s="1"/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10"/>
      <c r="W78" s="110"/>
      <c r="X78" s="110"/>
      <c r="Y78" s="110"/>
      <c r="Z78" s="110"/>
      <c r="AA78" s="110"/>
      <c r="AB78" s="140"/>
      <c r="AC78" s="3"/>
      <c r="AD78" s="3"/>
    </row>
    <row r="79" spans="1:30" x14ac:dyDescent="0.25">
      <c r="A79" s="1"/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10"/>
      <c r="W79" s="110"/>
      <c r="X79" s="110"/>
      <c r="Y79" s="110"/>
      <c r="Z79" s="110"/>
      <c r="AA79" s="110"/>
      <c r="AB79" s="140"/>
      <c r="AC79" s="3"/>
      <c r="AD79" s="3"/>
    </row>
    <row r="80" spans="1:30" x14ac:dyDescent="0.25">
      <c r="A80" s="1"/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10"/>
      <c r="W80" s="110"/>
      <c r="X80" s="110"/>
      <c r="Y80" s="110"/>
      <c r="Z80" s="110"/>
      <c r="AA80" s="110"/>
      <c r="AB80" s="140"/>
      <c r="AC80" s="3"/>
      <c r="AD80" s="3"/>
    </row>
    <row r="81" spans="1:30" x14ac:dyDescent="0.25">
      <c r="A81" s="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10"/>
      <c r="W81" s="110"/>
      <c r="X81" s="110"/>
      <c r="Y81" s="110"/>
      <c r="Z81" s="110"/>
      <c r="AA81" s="110"/>
      <c r="AB81" s="140"/>
      <c r="AC81" s="3"/>
      <c r="AD81" s="3"/>
    </row>
    <row r="82" spans="1:30" x14ac:dyDescent="0.25">
      <c r="A82" s="1"/>
      <c r="B82" s="925"/>
      <c r="C82" s="921"/>
      <c r="D82" s="921"/>
      <c r="E82" s="921"/>
      <c r="F82" s="921"/>
      <c r="G82" s="921"/>
      <c r="H82" s="921"/>
      <c r="I82" s="921"/>
      <c r="J82" s="921"/>
      <c r="K82" s="921"/>
      <c r="L82" s="921"/>
      <c r="M82" s="921"/>
      <c r="N82" s="921"/>
      <c r="O82" s="921"/>
      <c r="P82" s="921"/>
      <c r="Q82" s="921"/>
      <c r="R82" s="921"/>
      <c r="S82" s="921"/>
      <c r="T82" s="921"/>
      <c r="U82" s="921"/>
      <c r="V82" s="110"/>
      <c r="W82" s="110"/>
      <c r="X82" s="110"/>
      <c r="Y82" s="110"/>
      <c r="Z82" s="110"/>
      <c r="AA82" s="110"/>
      <c r="AB82" s="140"/>
      <c r="AC82" s="3"/>
      <c r="AD82" s="3"/>
    </row>
    <row r="83" spans="1:30" x14ac:dyDescent="0.25">
      <c r="A83" s="1"/>
      <c r="B83" s="143"/>
      <c r="C83" s="162"/>
      <c r="D83" s="162"/>
      <c r="E83" s="16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10"/>
      <c r="W83" s="110"/>
      <c r="X83" s="110"/>
      <c r="Y83" s="110"/>
      <c r="Z83" s="110"/>
      <c r="AA83" s="110"/>
      <c r="AB83" s="140"/>
      <c r="AC83" s="3"/>
      <c r="AD83" s="3"/>
    </row>
    <row r="84" spans="1:30" x14ac:dyDescent="0.25">
      <c r="A84" s="1"/>
      <c r="B84" s="161"/>
      <c r="C84" s="160"/>
      <c r="D84" s="145"/>
      <c r="E84" s="145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10"/>
      <c r="W84" s="110"/>
      <c r="X84" s="110"/>
      <c r="Y84" s="110"/>
      <c r="Z84" s="110"/>
      <c r="AA84" s="110"/>
      <c r="AB84" s="140"/>
      <c r="AC84" s="3"/>
      <c r="AD84" s="3"/>
    </row>
    <row r="85" spans="1:30" x14ac:dyDescent="0.25">
      <c r="A85" s="1"/>
      <c r="B85" s="143"/>
      <c r="C85" s="144"/>
      <c r="D85" s="145"/>
      <c r="E85" s="145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10"/>
      <c r="W85" s="110"/>
      <c r="X85" s="110"/>
      <c r="Y85" s="110"/>
      <c r="Z85" s="110"/>
      <c r="AA85" s="110"/>
      <c r="AB85" s="140"/>
      <c r="AC85" s="3"/>
      <c r="AD85" s="3"/>
    </row>
    <row r="86" spans="1:30" x14ac:dyDescent="0.25">
      <c r="A86" s="1"/>
      <c r="B86" s="143"/>
      <c r="C86" s="144"/>
      <c r="D86" s="145"/>
      <c r="E86" s="145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10"/>
      <c r="W86" s="110"/>
      <c r="X86" s="110"/>
      <c r="Y86" s="110"/>
      <c r="Z86" s="110"/>
      <c r="AA86" s="110"/>
      <c r="AB86" s="140"/>
      <c r="AC86" s="3"/>
      <c r="AD86" s="3"/>
    </row>
    <row r="87" spans="1:30" x14ac:dyDescent="0.25">
      <c r="A87" s="1"/>
      <c r="B87" s="146"/>
      <c r="C87" s="147"/>
      <c r="D87" s="148"/>
      <c r="E87" s="148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50"/>
      <c r="W87" s="150"/>
      <c r="X87" s="150"/>
      <c r="Y87" s="150"/>
      <c r="Z87" s="150"/>
      <c r="AA87" s="150"/>
      <c r="AB87" s="151"/>
      <c r="AC87" s="3"/>
      <c r="AD87" s="3"/>
    </row>
    <row r="88" spans="1:30" x14ac:dyDescent="0.25">
      <c r="A88" s="104"/>
      <c r="B88" s="152"/>
      <c r="C88" s="153"/>
      <c r="D88" s="152"/>
      <c r="E88" s="152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2"/>
      <c r="C89" s="153"/>
      <c r="D89" s="152"/>
      <c r="E89" s="152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5" t="s">
        <v>109</v>
      </c>
      <c r="C91" s="156">
        <v>44790</v>
      </c>
      <c r="D91" s="155" t="s">
        <v>110</v>
      </c>
      <c r="E91" s="921" t="s">
        <v>264</v>
      </c>
      <c r="F91" s="921"/>
      <c r="G91" s="921"/>
      <c r="H91" s="155"/>
      <c r="I91" s="155" t="s">
        <v>112</v>
      </c>
      <c r="J91" s="922" t="s">
        <v>265</v>
      </c>
      <c r="K91" s="922"/>
      <c r="L91" s="922"/>
      <c r="M91" s="922"/>
      <c r="N91" s="155"/>
      <c r="O91" s="155"/>
      <c r="P91" s="155"/>
      <c r="Q91" s="155"/>
      <c r="R91" s="155"/>
      <c r="S91" s="155"/>
      <c r="T91" s="155"/>
      <c r="U91" s="155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5"/>
      <c r="C93" s="155"/>
      <c r="D93" s="155" t="s">
        <v>114</v>
      </c>
      <c r="E93" s="157"/>
      <c r="F93" s="157"/>
      <c r="G93" s="157"/>
      <c r="H93" s="155"/>
      <c r="I93" s="155" t="s">
        <v>114</v>
      </c>
      <c r="J93" s="158"/>
      <c r="K93" s="158"/>
      <c r="L93" s="158"/>
      <c r="M93" s="158"/>
      <c r="N93" s="155"/>
      <c r="O93" s="155"/>
      <c r="P93" s="155"/>
      <c r="Q93" s="155"/>
      <c r="R93" s="155"/>
      <c r="S93" s="155"/>
      <c r="T93" s="155"/>
      <c r="U93" s="155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5"/>
      <c r="C94" s="155"/>
      <c r="D94" s="155"/>
      <c r="E94" s="157"/>
      <c r="F94" s="157"/>
      <c r="G94" s="157"/>
      <c r="H94" s="155"/>
      <c r="I94" s="155"/>
      <c r="J94" s="158"/>
      <c r="K94" s="158"/>
      <c r="L94" s="158"/>
      <c r="M94" s="158"/>
      <c r="N94" s="155"/>
      <c r="O94" s="155"/>
      <c r="P94" s="155"/>
      <c r="Q94" s="155"/>
      <c r="R94" s="155"/>
      <c r="S94" s="155"/>
      <c r="T94" s="155"/>
      <c r="U94" s="155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4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B63:U63"/>
    <mergeCell ref="B82:U82"/>
    <mergeCell ref="E91:G91"/>
    <mergeCell ref="J91:M91"/>
    <mergeCell ref="Z26:Z27"/>
    <mergeCell ref="I26:I27"/>
  </mergeCells>
  <conditionalFormatting sqref="AB15:AB25">
    <cfRule type="cellIs" dxfId="11" priority="3" operator="equal">
      <formula>0</formula>
    </cfRule>
    <cfRule type="containsErrors" dxfId="10" priority="4">
      <formula>ISERROR(AB15)</formula>
    </cfRule>
  </conditionalFormatting>
  <conditionalFormatting sqref="AB28:AB41">
    <cfRule type="cellIs" dxfId="9" priority="1" operator="equal">
      <formula>0</formula>
    </cfRule>
    <cfRule type="containsErrors" dxfId="8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116"/>
  <sheetViews>
    <sheetView showGridLines="0" zoomScale="80" zoomScaleNormal="80" zoomScaleSheetLayoutView="80" workbookViewId="0">
      <selection activeCell="P26" sqref="P26:R2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343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7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3"/>
      <c r="B2" s="478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7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7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3"/>
      <c r="B4" s="3" t="s">
        <v>1</v>
      </c>
      <c r="C4" s="3"/>
      <c r="D4" s="871" t="s">
        <v>275</v>
      </c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7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3"/>
      <c r="B6" s="3" t="s">
        <v>3</v>
      </c>
      <c r="C6" s="3"/>
      <c r="D6" s="358">
        <v>61345636</v>
      </c>
      <c r="E6" s="3"/>
      <c r="F6" s="3"/>
      <c r="G6" s="3"/>
      <c r="H6" s="3"/>
      <c r="I6" s="3"/>
      <c r="J6" s="3"/>
      <c r="K6" s="3"/>
      <c r="L6" s="3"/>
      <c r="M6" s="47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3"/>
      <c r="B7" s="3"/>
      <c r="C7" s="3"/>
      <c r="D7" s="477"/>
      <c r="E7" s="3"/>
      <c r="F7" s="3"/>
      <c r="G7" s="3"/>
      <c r="H7" s="3"/>
      <c r="I7" s="3"/>
      <c r="J7" s="3"/>
      <c r="K7" s="3"/>
      <c r="L7" s="3"/>
      <c r="M7" s="47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3"/>
      <c r="B8" s="3" t="s">
        <v>4</v>
      </c>
      <c r="C8" s="3"/>
      <c r="D8" s="872" t="s">
        <v>274</v>
      </c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7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3"/>
      <c r="B10" s="879" t="s">
        <v>6</v>
      </c>
      <c r="C10" s="864" t="s">
        <v>7</v>
      </c>
      <c r="D10" s="831" t="s">
        <v>8</v>
      </c>
      <c r="E10" s="832"/>
      <c r="F10" s="832"/>
      <c r="G10" s="832"/>
      <c r="H10" s="832"/>
      <c r="I10" s="833"/>
      <c r="J10" s="831" t="s">
        <v>9</v>
      </c>
      <c r="K10" s="832"/>
      <c r="L10" s="832"/>
      <c r="M10" s="832"/>
      <c r="N10" s="832"/>
      <c r="O10" s="833"/>
      <c r="P10" s="831" t="s">
        <v>10</v>
      </c>
      <c r="Q10" s="832"/>
      <c r="R10" s="832"/>
      <c r="S10" s="832"/>
      <c r="T10" s="832"/>
      <c r="U10" s="833"/>
      <c r="V10" s="831" t="s">
        <v>11</v>
      </c>
      <c r="W10" s="832"/>
      <c r="X10" s="832"/>
      <c r="Y10" s="832"/>
      <c r="Z10" s="832"/>
      <c r="AA10" s="833"/>
      <c r="AB10" s="849" t="s">
        <v>12</v>
      </c>
      <c r="AC10" s="3"/>
      <c r="AD10" s="3"/>
    </row>
    <row r="11" spans="1:30" ht="30.75" customHeight="1" thickBot="1" x14ac:dyDescent="0.3">
      <c r="A11" s="3"/>
      <c r="B11" s="880"/>
      <c r="C11" s="865"/>
      <c r="D11" s="852" t="s">
        <v>13</v>
      </c>
      <c r="E11" s="853"/>
      <c r="F11" s="853"/>
      <c r="G11" s="854"/>
      <c r="H11" s="475" t="s">
        <v>14</v>
      </c>
      <c r="I11" s="475" t="s">
        <v>15</v>
      </c>
      <c r="J11" s="852" t="s">
        <v>13</v>
      </c>
      <c r="K11" s="853"/>
      <c r="L11" s="853"/>
      <c r="M11" s="854"/>
      <c r="N11" s="475" t="s">
        <v>14</v>
      </c>
      <c r="O11" s="475" t="s">
        <v>15</v>
      </c>
      <c r="P11" s="852" t="s">
        <v>13</v>
      </c>
      <c r="Q11" s="853"/>
      <c r="R11" s="853"/>
      <c r="S11" s="854"/>
      <c r="T11" s="475" t="s">
        <v>14</v>
      </c>
      <c r="U11" s="475" t="s">
        <v>15</v>
      </c>
      <c r="V11" s="852" t="s">
        <v>13</v>
      </c>
      <c r="W11" s="853"/>
      <c r="X11" s="853"/>
      <c r="Y11" s="854"/>
      <c r="Z11" s="475" t="s">
        <v>14</v>
      </c>
      <c r="AA11" s="475" t="s">
        <v>15</v>
      </c>
      <c r="AB11" s="850"/>
      <c r="AC11" s="3"/>
      <c r="AD11" s="3"/>
    </row>
    <row r="12" spans="1:30" ht="15.75" customHeight="1" thickBot="1" x14ac:dyDescent="0.3">
      <c r="A12" s="3"/>
      <c r="B12" s="880"/>
      <c r="C12" s="866"/>
      <c r="D12" s="855" t="s">
        <v>16</v>
      </c>
      <c r="E12" s="856"/>
      <c r="F12" s="856"/>
      <c r="G12" s="856"/>
      <c r="H12" s="856"/>
      <c r="I12" s="857"/>
      <c r="J12" s="855" t="s">
        <v>16</v>
      </c>
      <c r="K12" s="856"/>
      <c r="L12" s="856"/>
      <c r="M12" s="856"/>
      <c r="N12" s="856"/>
      <c r="O12" s="857"/>
      <c r="P12" s="855" t="s">
        <v>16</v>
      </c>
      <c r="Q12" s="856"/>
      <c r="R12" s="856"/>
      <c r="S12" s="856"/>
      <c r="T12" s="856"/>
      <c r="U12" s="857"/>
      <c r="V12" s="855" t="s">
        <v>16</v>
      </c>
      <c r="W12" s="856"/>
      <c r="X12" s="856"/>
      <c r="Y12" s="856"/>
      <c r="Z12" s="856"/>
      <c r="AA12" s="857"/>
      <c r="AB12" s="850"/>
      <c r="AC12" s="3"/>
      <c r="AD12" s="3"/>
    </row>
    <row r="13" spans="1:30" ht="15.75" customHeight="1" thickBot="1" x14ac:dyDescent="0.3">
      <c r="A13" s="3"/>
      <c r="B13" s="881"/>
      <c r="C13" s="867"/>
      <c r="D13" s="858" t="s">
        <v>17</v>
      </c>
      <c r="E13" s="859"/>
      <c r="F13" s="859"/>
      <c r="G13" s="838" t="s">
        <v>18</v>
      </c>
      <c r="H13" s="840" t="s">
        <v>19</v>
      </c>
      <c r="I13" s="860" t="s">
        <v>16</v>
      </c>
      <c r="J13" s="858" t="s">
        <v>17</v>
      </c>
      <c r="K13" s="859"/>
      <c r="L13" s="859"/>
      <c r="M13" s="838" t="s">
        <v>18</v>
      </c>
      <c r="N13" s="840" t="s">
        <v>19</v>
      </c>
      <c r="O13" s="860" t="s">
        <v>16</v>
      </c>
      <c r="P13" s="858" t="s">
        <v>17</v>
      </c>
      <c r="Q13" s="859"/>
      <c r="R13" s="859"/>
      <c r="S13" s="838" t="s">
        <v>18</v>
      </c>
      <c r="T13" s="840" t="s">
        <v>19</v>
      </c>
      <c r="U13" s="860" t="s">
        <v>16</v>
      </c>
      <c r="V13" s="858" t="s">
        <v>17</v>
      </c>
      <c r="W13" s="859"/>
      <c r="X13" s="859"/>
      <c r="Y13" s="838" t="s">
        <v>18</v>
      </c>
      <c r="Z13" s="840" t="s">
        <v>19</v>
      </c>
      <c r="AA13" s="860" t="s">
        <v>16</v>
      </c>
      <c r="AB13" s="850"/>
      <c r="AC13" s="3"/>
      <c r="AD13" s="3"/>
    </row>
    <row r="14" spans="1:30" ht="15.75" thickBot="1" x14ac:dyDescent="0.3">
      <c r="A14" s="3"/>
      <c r="B14" s="474"/>
      <c r="C14" s="473"/>
      <c r="D14" s="472" t="s">
        <v>20</v>
      </c>
      <c r="E14" s="471" t="s">
        <v>21</v>
      </c>
      <c r="F14" s="471" t="s">
        <v>22</v>
      </c>
      <c r="G14" s="839"/>
      <c r="H14" s="841"/>
      <c r="I14" s="861"/>
      <c r="J14" s="472" t="s">
        <v>20</v>
      </c>
      <c r="K14" s="471" t="s">
        <v>21</v>
      </c>
      <c r="L14" s="471" t="s">
        <v>22</v>
      </c>
      <c r="M14" s="839"/>
      <c r="N14" s="841"/>
      <c r="O14" s="861"/>
      <c r="P14" s="472" t="s">
        <v>20</v>
      </c>
      <c r="Q14" s="471" t="s">
        <v>21</v>
      </c>
      <c r="R14" s="471" t="s">
        <v>22</v>
      </c>
      <c r="S14" s="839"/>
      <c r="T14" s="841"/>
      <c r="U14" s="861"/>
      <c r="V14" s="472" t="s">
        <v>20</v>
      </c>
      <c r="W14" s="471" t="s">
        <v>21</v>
      </c>
      <c r="X14" s="471" t="s">
        <v>22</v>
      </c>
      <c r="Y14" s="839"/>
      <c r="Z14" s="841"/>
      <c r="AA14" s="861"/>
      <c r="AB14" s="851"/>
      <c r="AC14" s="3"/>
      <c r="AD14" s="3"/>
    </row>
    <row r="15" spans="1:30" x14ac:dyDescent="0.25">
      <c r="A15" s="3"/>
      <c r="B15" s="433" t="s">
        <v>23</v>
      </c>
      <c r="C15" s="432" t="s">
        <v>24</v>
      </c>
      <c r="D15" s="470"/>
      <c r="E15" s="469"/>
      <c r="F15" s="468">
        <v>2357.8000000000002</v>
      </c>
      <c r="G15" s="467">
        <f>SUM(D15:F15)</f>
        <v>2357.8000000000002</v>
      </c>
      <c r="H15" s="457">
        <v>22.5</v>
      </c>
      <c r="I15" s="420">
        <f t="shared" ref="I15:I23" si="0">G15+H15</f>
        <v>2380.3000000000002</v>
      </c>
      <c r="J15" s="470"/>
      <c r="K15" s="469"/>
      <c r="L15" s="468">
        <v>2600</v>
      </c>
      <c r="M15" s="467">
        <f t="shared" ref="M15:M24" si="1">SUM(J15:L15)</f>
        <v>2600</v>
      </c>
      <c r="N15" s="457">
        <v>150</v>
      </c>
      <c r="O15" s="420">
        <f t="shared" ref="O15:O23" si="2">M15+N15</f>
        <v>2750</v>
      </c>
      <c r="P15" s="470"/>
      <c r="Q15" s="469"/>
      <c r="R15" s="468">
        <v>1511.66</v>
      </c>
      <c r="S15" s="467">
        <f t="shared" ref="S15:S24" si="3">SUM(P15:R15)</f>
        <v>1511.66</v>
      </c>
      <c r="T15" s="457">
        <v>37</v>
      </c>
      <c r="U15" s="420">
        <f t="shared" ref="U15:U23" si="4">S15+T15</f>
        <v>1548.66</v>
      </c>
      <c r="V15" s="470"/>
      <c r="W15" s="469"/>
      <c r="X15" s="468">
        <v>2650</v>
      </c>
      <c r="Y15" s="467">
        <f>SUM(V15:X15)</f>
        <v>2650</v>
      </c>
      <c r="Z15" s="457">
        <v>100</v>
      </c>
      <c r="AA15" s="420">
        <f t="shared" ref="AA15:AA23" si="5">Y15+Z15</f>
        <v>2750</v>
      </c>
      <c r="AB15" s="389">
        <f t="shared" ref="AB15:AB24" si="6">(AA15/O15)</f>
        <v>1</v>
      </c>
      <c r="AC15" s="3"/>
      <c r="AD15" s="3"/>
    </row>
    <row r="16" spans="1:30" x14ac:dyDescent="0.25">
      <c r="A16" s="3"/>
      <c r="B16" s="418" t="s">
        <v>25</v>
      </c>
      <c r="C16" s="466" t="s">
        <v>26</v>
      </c>
      <c r="D16" s="465">
        <v>1481</v>
      </c>
      <c r="E16" s="455"/>
      <c r="F16" s="455"/>
      <c r="G16" s="450">
        <f>SUM(D16:F16)</f>
        <v>1481</v>
      </c>
      <c r="H16" s="464"/>
      <c r="I16" s="420">
        <f t="shared" si="0"/>
        <v>1481</v>
      </c>
      <c r="J16" s="465">
        <f>2522-952</f>
        <v>1570</v>
      </c>
      <c r="K16" s="455"/>
      <c r="L16" s="455"/>
      <c r="M16" s="450">
        <f t="shared" si="1"/>
        <v>1570</v>
      </c>
      <c r="N16" s="464"/>
      <c r="O16" s="420">
        <f t="shared" si="2"/>
        <v>1570</v>
      </c>
      <c r="P16" s="465">
        <v>784.99900000000002</v>
      </c>
      <c r="Q16" s="455"/>
      <c r="R16" s="455"/>
      <c r="S16" s="450">
        <f t="shared" si="3"/>
        <v>784.99900000000002</v>
      </c>
      <c r="T16" s="464"/>
      <c r="U16" s="420">
        <f t="shared" si="4"/>
        <v>784.99900000000002</v>
      </c>
      <c r="V16" s="465">
        <v>1872</v>
      </c>
      <c r="W16" s="455"/>
      <c r="X16" s="455"/>
      <c r="Y16" s="450">
        <f>SUM(V16:X16)</f>
        <v>1872</v>
      </c>
      <c r="Z16" s="464"/>
      <c r="AA16" s="420">
        <f t="shared" si="5"/>
        <v>1872</v>
      </c>
      <c r="AB16" s="389">
        <f t="shared" si="6"/>
        <v>1.1923566878980891</v>
      </c>
      <c r="AC16" s="3"/>
      <c r="AD16" s="3"/>
    </row>
    <row r="17" spans="1:30" x14ac:dyDescent="0.25">
      <c r="A17" s="3"/>
      <c r="B17" s="418" t="s">
        <v>27</v>
      </c>
      <c r="C17" s="463" t="s">
        <v>28</v>
      </c>
      <c r="D17" s="29">
        <v>290</v>
      </c>
      <c r="E17" s="459"/>
      <c r="F17" s="459"/>
      <c r="G17" s="450">
        <f>SUM(D17:F17)</f>
        <v>290</v>
      </c>
      <c r="H17" s="462"/>
      <c r="I17" s="420">
        <f t="shared" si="0"/>
        <v>290</v>
      </c>
      <c r="J17" s="29">
        <f>216+952</f>
        <v>1168</v>
      </c>
      <c r="K17" s="459"/>
      <c r="L17" s="459"/>
      <c r="M17" s="450">
        <f t="shared" si="1"/>
        <v>1168</v>
      </c>
      <c r="N17" s="462"/>
      <c r="O17" s="420">
        <f t="shared" si="2"/>
        <v>1168</v>
      </c>
      <c r="P17" s="29">
        <v>81.489999999999995</v>
      </c>
      <c r="Q17" s="459"/>
      <c r="R17" s="459"/>
      <c r="S17" s="450">
        <f t="shared" si="3"/>
        <v>81.489999999999995</v>
      </c>
      <c r="T17" s="462"/>
      <c r="U17" s="420">
        <f t="shared" si="4"/>
        <v>81.489999999999995</v>
      </c>
      <c r="V17" s="29">
        <v>212</v>
      </c>
      <c r="W17" s="459"/>
      <c r="X17" s="459"/>
      <c r="Y17" s="450">
        <v>212</v>
      </c>
      <c r="Z17" s="462"/>
      <c r="AA17" s="420">
        <f t="shared" si="5"/>
        <v>212</v>
      </c>
      <c r="AB17" s="389">
        <f t="shared" si="6"/>
        <v>0.1815068493150685</v>
      </c>
      <c r="AC17" s="3"/>
      <c r="AD17" s="3"/>
    </row>
    <row r="18" spans="1:30" x14ac:dyDescent="0.25">
      <c r="A18" s="3"/>
      <c r="B18" s="418" t="s">
        <v>29</v>
      </c>
      <c r="C18" s="461" t="s">
        <v>30</v>
      </c>
      <c r="D18" s="456"/>
      <c r="E18" s="37">
        <v>23093.599999999999</v>
      </c>
      <c r="F18" s="459"/>
      <c r="G18" s="450">
        <f>SUM(D18:F18)</f>
        <v>23093.599999999999</v>
      </c>
      <c r="H18" s="457"/>
      <c r="I18" s="420">
        <f t="shared" si="0"/>
        <v>23093.599999999999</v>
      </c>
      <c r="J18" s="456"/>
      <c r="K18" s="37">
        <v>25950</v>
      </c>
      <c r="L18" s="459"/>
      <c r="M18" s="450">
        <f t="shared" si="1"/>
        <v>25950</v>
      </c>
      <c r="N18" s="457"/>
      <c r="O18" s="420">
        <f t="shared" si="2"/>
        <v>25950</v>
      </c>
      <c r="P18" s="456"/>
      <c r="Q18" s="37">
        <v>11484.666999999999</v>
      </c>
      <c r="R18" s="459"/>
      <c r="S18" s="450">
        <f t="shared" si="3"/>
        <v>11484.666999999999</v>
      </c>
      <c r="T18" s="457"/>
      <c r="U18" s="420">
        <f t="shared" si="4"/>
        <v>11484.666999999999</v>
      </c>
      <c r="V18" s="456"/>
      <c r="W18" s="37">
        <v>25000</v>
      </c>
      <c r="X18" s="459"/>
      <c r="Y18" s="450">
        <f t="shared" ref="Y18:Y24" si="7">SUM(V18:X18)</f>
        <v>25000</v>
      </c>
      <c r="Z18" s="457"/>
      <c r="AA18" s="420">
        <f t="shared" si="5"/>
        <v>25000</v>
      </c>
      <c r="AB18" s="389">
        <f t="shared" si="6"/>
        <v>0.96339113680154143</v>
      </c>
      <c r="AC18" s="3"/>
      <c r="AD18" s="3"/>
    </row>
    <row r="19" spans="1:30" x14ac:dyDescent="0.25">
      <c r="A19" s="3"/>
      <c r="B19" s="418" t="s">
        <v>31</v>
      </c>
      <c r="C19" s="427" t="s">
        <v>32</v>
      </c>
      <c r="D19" s="460"/>
      <c r="E19" s="459"/>
      <c r="F19" s="37">
        <v>267</v>
      </c>
      <c r="G19" s="450">
        <f>SUM(D19:F19)</f>
        <v>267</v>
      </c>
      <c r="H19" s="457"/>
      <c r="I19" s="420">
        <f t="shared" si="0"/>
        <v>267</v>
      </c>
      <c r="J19" s="460"/>
      <c r="K19" s="459"/>
      <c r="L19" s="37">
        <v>267</v>
      </c>
      <c r="M19" s="450">
        <f t="shared" si="1"/>
        <v>267</v>
      </c>
      <c r="N19" s="457"/>
      <c r="O19" s="420">
        <f t="shared" si="2"/>
        <v>267</v>
      </c>
      <c r="P19" s="460"/>
      <c r="Q19" s="459"/>
      <c r="R19" s="37">
        <v>133.12</v>
      </c>
      <c r="S19" s="450">
        <f t="shared" si="3"/>
        <v>133.12</v>
      </c>
      <c r="T19" s="457"/>
      <c r="U19" s="420">
        <f t="shared" si="4"/>
        <v>133.12</v>
      </c>
      <c r="V19" s="460"/>
      <c r="W19" s="459"/>
      <c r="X19" s="37">
        <v>267</v>
      </c>
      <c r="Y19" s="450">
        <f t="shared" si="7"/>
        <v>267</v>
      </c>
      <c r="Z19" s="457"/>
      <c r="AA19" s="420">
        <f t="shared" si="5"/>
        <v>267</v>
      </c>
      <c r="AB19" s="389">
        <f t="shared" si="6"/>
        <v>1</v>
      </c>
      <c r="AC19" s="3"/>
      <c r="AD19" s="3"/>
    </row>
    <row r="20" spans="1:30" x14ac:dyDescent="0.25">
      <c r="A20" s="3"/>
      <c r="B20" s="418" t="s">
        <v>33</v>
      </c>
      <c r="C20" s="458" t="s">
        <v>34</v>
      </c>
      <c r="D20" s="456"/>
      <c r="E20" s="455"/>
      <c r="F20" s="454">
        <v>13.7</v>
      </c>
      <c r="G20" s="450"/>
      <c r="H20" s="457"/>
      <c r="I20" s="420">
        <f t="shared" si="0"/>
        <v>0</v>
      </c>
      <c r="J20" s="456"/>
      <c r="K20" s="455"/>
      <c r="L20" s="454">
        <v>100</v>
      </c>
      <c r="M20" s="450">
        <f t="shared" si="1"/>
        <v>100</v>
      </c>
      <c r="N20" s="457"/>
      <c r="O20" s="420">
        <f t="shared" si="2"/>
        <v>100</v>
      </c>
      <c r="P20" s="456"/>
      <c r="Q20" s="455"/>
      <c r="R20" s="454">
        <v>15.433</v>
      </c>
      <c r="S20" s="450">
        <f t="shared" si="3"/>
        <v>15.433</v>
      </c>
      <c r="T20" s="457"/>
      <c r="U20" s="420">
        <f t="shared" si="4"/>
        <v>15.433</v>
      </c>
      <c r="V20" s="456"/>
      <c r="W20" s="455"/>
      <c r="X20" s="454">
        <v>100</v>
      </c>
      <c r="Y20" s="450">
        <f t="shared" si="7"/>
        <v>100</v>
      </c>
      <c r="Z20" s="457"/>
      <c r="AA20" s="420">
        <f t="shared" si="5"/>
        <v>100</v>
      </c>
      <c r="AB20" s="389">
        <f t="shared" si="6"/>
        <v>1</v>
      </c>
      <c r="AC20" s="3"/>
      <c r="AD20" s="3"/>
    </row>
    <row r="21" spans="1:30" x14ac:dyDescent="0.25">
      <c r="A21" s="3"/>
      <c r="B21" s="418" t="s">
        <v>35</v>
      </c>
      <c r="C21" s="423" t="s">
        <v>36</v>
      </c>
      <c r="D21" s="456"/>
      <c r="E21" s="455"/>
      <c r="F21" s="454">
        <v>20.2</v>
      </c>
      <c r="G21" s="450">
        <f>SUM(D21:F21)</f>
        <v>20.2</v>
      </c>
      <c r="H21" s="453">
        <v>38.9</v>
      </c>
      <c r="I21" s="420">
        <f t="shared" si="0"/>
        <v>59.099999999999994</v>
      </c>
      <c r="J21" s="456"/>
      <c r="K21" s="455"/>
      <c r="L21" s="454">
        <v>200</v>
      </c>
      <c r="M21" s="450">
        <f t="shared" si="1"/>
        <v>200</v>
      </c>
      <c r="N21" s="453"/>
      <c r="O21" s="420">
        <f t="shared" si="2"/>
        <v>200</v>
      </c>
      <c r="P21" s="456"/>
      <c r="Q21" s="455"/>
      <c r="R21" s="454">
        <v>45.9</v>
      </c>
      <c r="S21" s="450">
        <f t="shared" si="3"/>
        <v>45.9</v>
      </c>
      <c r="T21" s="453">
        <v>38.299999999999997</v>
      </c>
      <c r="U21" s="420">
        <f t="shared" si="4"/>
        <v>84.199999999999989</v>
      </c>
      <c r="V21" s="456"/>
      <c r="W21" s="455"/>
      <c r="X21" s="454">
        <v>150</v>
      </c>
      <c r="Y21" s="450">
        <f t="shared" si="7"/>
        <v>150</v>
      </c>
      <c r="Z21" s="453">
        <v>50</v>
      </c>
      <c r="AA21" s="420">
        <f t="shared" si="5"/>
        <v>200</v>
      </c>
      <c r="AB21" s="389">
        <f t="shared" si="6"/>
        <v>1</v>
      </c>
      <c r="AC21" s="3"/>
      <c r="AD21" s="3"/>
    </row>
    <row r="22" spans="1:30" x14ac:dyDescent="0.25">
      <c r="A22" s="3"/>
      <c r="B22" s="418" t="s">
        <v>37</v>
      </c>
      <c r="C22" s="423" t="s">
        <v>38</v>
      </c>
      <c r="D22" s="456"/>
      <c r="E22" s="455"/>
      <c r="F22" s="454"/>
      <c r="G22" s="450">
        <f>SUM(D22:F22)</f>
        <v>0</v>
      </c>
      <c r="H22" s="453">
        <v>38.799999999999997</v>
      </c>
      <c r="I22" s="420">
        <f t="shared" si="0"/>
        <v>38.799999999999997</v>
      </c>
      <c r="J22" s="456"/>
      <c r="K22" s="455"/>
      <c r="L22" s="454">
        <v>100</v>
      </c>
      <c r="M22" s="450">
        <f t="shared" si="1"/>
        <v>100</v>
      </c>
      <c r="N22" s="453"/>
      <c r="O22" s="420">
        <f t="shared" si="2"/>
        <v>100</v>
      </c>
      <c r="P22" s="456"/>
      <c r="Q22" s="455"/>
      <c r="R22" s="454"/>
      <c r="S22" s="450">
        <f t="shared" si="3"/>
        <v>0</v>
      </c>
      <c r="T22" s="453">
        <v>38.299999999999997</v>
      </c>
      <c r="U22" s="420">
        <f t="shared" si="4"/>
        <v>38.299999999999997</v>
      </c>
      <c r="V22" s="456"/>
      <c r="W22" s="455"/>
      <c r="X22" s="454"/>
      <c r="Y22" s="450">
        <f t="shared" si="7"/>
        <v>0</v>
      </c>
      <c r="Z22" s="453">
        <v>50</v>
      </c>
      <c r="AA22" s="420">
        <f t="shared" si="5"/>
        <v>50</v>
      </c>
      <c r="AB22" s="389">
        <f t="shared" si="6"/>
        <v>0.5</v>
      </c>
      <c r="AC22" s="3"/>
      <c r="AD22" s="3"/>
    </row>
    <row r="23" spans="1:30" ht="15.75" thickBot="1" x14ac:dyDescent="0.3">
      <c r="A23" s="3"/>
      <c r="B23" s="452" t="s">
        <v>39</v>
      </c>
      <c r="C23" s="451" t="s">
        <v>40</v>
      </c>
      <c r="D23" s="449"/>
      <c r="E23" s="448"/>
      <c r="F23" s="447"/>
      <c r="G23" s="446">
        <f>SUM(D23:F23)</f>
        <v>0</v>
      </c>
      <c r="H23" s="445"/>
      <c r="I23" s="412">
        <f t="shared" si="0"/>
        <v>0</v>
      </c>
      <c r="J23" s="449"/>
      <c r="K23" s="448"/>
      <c r="L23" s="447"/>
      <c r="M23" s="446">
        <f t="shared" si="1"/>
        <v>0</v>
      </c>
      <c r="N23" s="445"/>
      <c r="O23" s="412">
        <f t="shared" si="2"/>
        <v>0</v>
      </c>
      <c r="P23" s="449"/>
      <c r="Q23" s="448"/>
      <c r="R23" s="447"/>
      <c r="S23" s="446">
        <f t="shared" si="3"/>
        <v>0</v>
      </c>
      <c r="T23" s="445"/>
      <c r="U23" s="412">
        <f t="shared" si="4"/>
        <v>0</v>
      </c>
      <c r="V23" s="449"/>
      <c r="W23" s="448"/>
      <c r="X23" s="447"/>
      <c r="Y23" s="446">
        <f t="shared" si="7"/>
        <v>0</v>
      </c>
      <c r="Z23" s="445"/>
      <c r="AA23" s="412">
        <f t="shared" si="5"/>
        <v>0</v>
      </c>
      <c r="AB23" s="411" t="e">
        <f t="shared" si="6"/>
        <v>#DIV/0!</v>
      </c>
      <c r="AC23" s="3"/>
      <c r="AD23" s="3"/>
    </row>
    <row r="24" spans="1:30" ht="15.75" thickBot="1" x14ac:dyDescent="0.3">
      <c r="A24" s="3"/>
      <c r="B24" s="410" t="s">
        <v>41</v>
      </c>
      <c r="C24" s="444" t="s">
        <v>42</v>
      </c>
      <c r="D24" s="443">
        <f>SUM(D15:D21)</f>
        <v>1771</v>
      </c>
      <c r="E24" s="442">
        <f>SUM(E15:E21)</f>
        <v>23093.599999999999</v>
      </c>
      <c r="F24" s="442">
        <f>SUM(F15:F21)</f>
        <v>2658.7</v>
      </c>
      <c r="G24" s="441">
        <f>SUM(D24:F24)</f>
        <v>27523.3</v>
      </c>
      <c r="H24" s="440">
        <f>SUM(H15:H21)</f>
        <v>61.4</v>
      </c>
      <c r="I24" s="440">
        <v>27584.7</v>
      </c>
      <c r="J24" s="443">
        <f>SUM(J15:J21)</f>
        <v>2738</v>
      </c>
      <c r="K24" s="442">
        <f>SUM(K15:K21)</f>
        <v>25950</v>
      </c>
      <c r="L24" s="442">
        <f>SUM(L15:L21)</f>
        <v>3167</v>
      </c>
      <c r="M24" s="441">
        <f t="shared" si="1"/>
        <v>31855</v>
      </c>
      <c r="N24" s="440">
        <f>SUM(N15:N21)</f>
        <v>150</v>
      </c>
      <c r="O24" s="440">
        <f>SUM(O15:O21)</f>
        <v>32005</v>
      </c>
      <c r="P24" s="443">
        <f>SUM(P15:P21)</f>
        <v>866.48900000000003</v>
      </c>
      <c r="Q24" s="442">
        <f>SUM(Q15:Q21)</f>
        <v>11484.666999999999</v>
      </c>
      <c r="R24" s="442">
        <f>SUM(R15:R21)</f>
        <v>1706.1130000000003</v>
      </c>
      <c r="S24" s="441">
        <f t="shared" si="3"/>
        <v>14057.269</v>
      </c>
      <c r="T24" s="440">
        <f>SUM(T15:T21)</f>
        <v>75.3</v>
      </c>
      <c r="U24" s="440">
        <f>SUM(U15:U21)</f>
        <v>14132.569000000001</v>
      </c>
      <c r="V24" s="443">
        <f>SUM(V15:V21)</f>
        <v>2084</v>
      </c>
      <c r="W24" s="442">
        <f>SUM(W15:W21)</f>
        <v>25000</v>
      </c>
      <c r="X24" s="442">
        <f>SUM(X15:X21)</f>
        <v>3167</v>
      </c>
      <c r="Y24" s="441">
        <f t="shared" si="7"/>
        <v>30251</v>
      </c>
      <c r="Z24" s="440">
        <f>SUM(Z15:Z21)</f>
        <v>150</v>
      </c>
      <c r="AA24" s="440">
        <f>SUM(AA15:AA21)</f>
        <v>30401</v>
      </c>
      <c r="AB24" s="439">
        <f t="shared" si="6"/>
        <v>0.94988283080768632</v>
      </c>
      <c r="AC24" s="3"/>
      <c r="AD24" s="3"/>
    </row>
    <row r="25" spans="1:30" ht="15.75" customHeight="1" thickBot="1" x14ac:dyDescent="0.3">
      <c r="A25" s="3"/>
      <c r="B25" s="438"/>
      <c r="C25" s="437"/>
      <c r="D25" s="834" t="s">
        <v>43</v>
      </c>
      <c r="E25" s="835"/>
      <c r="F25" s="835"/>
      <c r="G25" s="836"/>
      <c r="H25" s="836"/>
      <c r="I25" s="837"/>
      <c r="J25" s="834" t="s">
        <v>43</v>
      </c>
      <c r="K25" s="835"/>
      <c r="L25" s="835"/>
      <c r="M25" s="836"/>
      <c r="N25" s="836"/>
      <c r="O25" s="837"/>
      <c r="P25" s="834" t="s">
        <v>43</v>
      </c>
      <c r="Q25" s="835"/>
      <c r="R25" s="835"/>
      <c r="S25" s="836"/>
      <c r="T25" s="836"/>
      <c r="U25" s="837"/>
      <c r="V25" s="834" t="s">
        <v>43</v>
      </c>
      <c r="W25" s="835"/>
      <c r="X25" s="835"/>
      <c r="Y25" s="836"/>
      <c r="Z25" s="836"/>
      <c r="AA25" s="837"/>
      <c r="AB25" s="842" t="s">
        <v>12</v>
      </c>
      <c r="AC25" s="3"/>
      <c r="AD25" s="3"/>
    </row>
    <row r="26" spans="1:30" ht="15.75" thickBot="1" x14ac:dyDescent="0.3">
      <c r="A26" s="3"/>
      <c r="B26" s="877" t="s">
        <v>6</v>
      </c>
      <c r="C26" s="864" t="s">
        <v>7</v>
      </c>
      <c r="D26" s="845" t="s">
        <v>44</v>
      </c>
      <c r="E26" s="846"/>
      <c r="F26" s="846"/>
      <c r="G26" s="838" t="s">
        <v>45</v>
      </c>
      <c r="H26" s="862" t="s">
        <v>46</v>
      </c>
      <c r="I26" s="847" t="s">
        <v>43</v>
      </c>
      <c r="J26" s="845" t="s">
        <v>44</v>
      </c>
      <c r="K26" s="846"/>
      <c r="L26" s="846"/>
      <c r="M26" s="838" t="s">
        <v>45</v>
      </c>
      <c r="N26" s="862" t="s">
        <v>46</v>
      </c>
      <c r="O26" s="847" t="s">
        <v>43</v>
      </c>
      <c r="P26" s="845" t="s">
        <v>44</v>
      </c>
      <c r="Q26" s="846"/>
      <c r="R26" s="846"/>
      <c r="S26" s="838" t="s">
        <v>45</v>
      </c>
      <c r="T26" s="862" t="s">
        <v>46</v>
      </c>
      <c r="U26" s="847" t="s">
        <v>43</v>
      </c>
      <c r="V26" s="845" t="s">
        <v>44</v>
      </c>
      <c r="W26" s="846"/>
      <c r="X26" s="846"/>
      <c r="Y26" s="838" t="s">
        <v>45</v>
      </c>
      <c r="Z26" s="862" t="s">
        <v>46</v>
      </c>
      <c r="AA26" s="847" t="s">
        <v>43</v>
      </c>
      <c r="AB26" s="843"/>
      <c r="AC26" s="3"/>
      <c r="AD26" s="3"/>
    </row>
    <row r="27" spans="1:30" ht="15.75" thickBot="1" x14ac:dyDescent="0.3">
      <c r="A27" s="3"/>
      <c r="B27" s="878"/>
      <c r="C27" s="865"/>
      <c r="D27" s="436" t="s">
        <v>47</v>
      </c>
      <c r="E27" s="435" t="s">
        <v>48</v>
      </c>
      <c r="F27" s="434" t="s">
        <v>49</v>
      </c>
      <c r="G27" s="839"/>
      <c r="H27" s="863"/>
      <c r="I27" s="848"/>
      <c r="J27" s="436" t="s">
        <v>47</v>
      </c>
      <c r="K27" s="435" t="s">
        <v>48</v>
      </c>
      <c r="L27" s="434" t="s">
        <v>49</v>
      </c>
      <c r="M27" s="839"/>
      <c r="N27" s="863"/>
      <c r="O27" s="848"/>
      <c r="P27" s="436" t="s">
        <v>47</v>
      </c>
      <c r="Q27" s="435" t="s">
        <v>48</v>
      </c>
      <c r="R27" s="434" t="s">
        <v>49</v>
      </c>
      <c r="S27" s="839"/>
      <c r="T27" s="863"/>
      <c r="U27" s="848"/>
      <c r="V27" s="436" t="s">
        <v>47</v>
      </c>
      <c r="W27" s="435" t="s">
        <v>48</v>
      </c>
      <c r="X27" s="434" t="s">
        <v>49</v>
      </c>
      <c r="Y27" s="839"/>
      <c r="Z27" s="863"/>
      <c r="AA27" s="848"/>
      <c r="AB27" s="844"/>
      <c r="AC27" s="3"/>
      <c r="AD27" s="3"/>
    </row>
    <row r="28" spans="1:30" x14ac:dyDescent="0.25">
      <c r="A28" s="3"/>
      <c r="B28" s="433" t="s">
        <v>50</v>
      </c>
      <c r="C28" s="432" t="s">
        <v>51</v>
      </c>
      <c r="D28" s="430"/>
      <c r="E28" s="430"/>
      <c r="F28" s="430">
        <v>626.4</v>
      </c>
      <c r="G28" s="429">
        <f>SUM(D28:F28)</f>
        <v>626.4</v>
      </c>
      <c r="H28" s="429"/>
      <c r="I28" s="428">
        <f t="shared" ref="I28:I38" si="8">G28+H28</f>
        <v>626.4</v>
      </c>
      <c r="J28" s="431"/>
      <c r="K28" s="430"/>
      <c r="L28" s="430">
        <v>600</v>
      </c>
      <c r="M28" s="429">
        <f t="shared" ref="M28:M39" si="9">SUM(J28:L28)</f>
        <v>600</v>
      </c>
      <c r="N28" s="429"/>
      <c r="O28" s="428">
        <f t="shared" ref="O28:O38" si="10">M28+N28</f>
        <v>600</v>
      </c>
      <c r="P28" s="431"/>
      <c r="Q28" s="430"/>
      <c r="R28" s="430">
        <v>53.09</v>
      </c>
      <c r="S28" s="429">
        <f>SUM(P28:R28)</f>
        <v>53.09</v>
      </c>
      <c r="T28" s="429"/>
      <c r="U28" s="428">
        <f t="shared" ref="U28:U38" si="11">S28+T28</f>
        <v>53.09</v>
      </c>
      <c r="V28" s="431"/>
      <c r="W28" s="430"/>
      <c r="X28" s="430">
        <v>600</v>
      </c>
      <c r="Y28" s="429">
        <f t="shared" ref="Y28:Y39" si="12">SUM(V28:X28)</f>
        <v>600</v>
      </c>
      <c r="Z28" s="429"/>
      <c r="AA28" s="428">
        <f t="shared" ref="AA28:AA38" si="13">Y28+Z28</f>
        <v>600</v>
      </c>
      <c r="AB28" s="389">
        <f t="shared" ref="AB28:AB41" si="14">(AA28/O28)</f>
        <v>1</v>
      </c>
      <c r="AC28" s="3"/>
      <c r="AD28" s="3"/>
    </row>
    <row r="29" spans="1:30" x14ac:dyDescent="0.25">
      <c r="A29" s="3"/>
      <c r="B29" s="418" t="s">
        <v>52</v>
      </c>
      <c r="C29" s="423" t="s">
        <v>53</v>
      </c>
      <c r="D29" s="421"/>
      <c r="E29" s="421"/>
      <c r="F29" s="421">
        <v>323.8</v>
      </c>
      <c r="G29" s="416">
        <f>SUM(D29:F29)</f>
        <v>323.8</v>
      </c>
      <c r="H29" s="416"/>
      <c r="I29" s="420">
        <f t="shared" si="8"/>
        <v>323.8</v>
      </c>
      <c r="J29" s="422"/>
      <c r="K29" s="421"/>
      <c r="L29" s="421">
        <v>305</v>
      </c>
      <c r="M29" s="416">
        <f t="shared" si="9"/>
        <v>305</v>
      </c>
      <c r="N29" s="416"/>
      <c r="O29" s="420">
        <f t="shared" si="10"/>
        <v>305</v>
      </c>
      <c r="P29" s="422"/>
      <c r="Q29" s="421"/>
      <c r="R29" s="421">
        <v>112.86</v>
      </c>
      <c r="S29" s="416">
        <f>SUM(P29:R29)</f>
        <v>112.86</v>
      </c>
      <c r="T29" s="416"/>
      <c r="U29" s="420">
        <f t="shared" si="11"/>
        <v>112.86</v>
      </c>
      <c r="V29" s="422"/>
      <c r="W29" s="421"/>
      <c r="X29" s="421">
        <v>400</v>
      </c>
      <c r="Y29" s="416">
        <f t="shared" si="12"/>
        <v>400</v>
      </c>
      <c r="Z29" s="416"/>
      <c r="AA29" s="420">
        <f t="shared" si="13"/>
        <v>400</v>
      </c>
      <c r="AB29" s="389">
        <f t="shared" si="14"/>
        <v>1.3114754098360655</v>
      </c>
      <c r="AC29" s="3"/>
      <c r="AD29" s="3"/>
    </row>
    <row r="30" spans="1:30" x14ac:dyDescent="0.25">
      <c r="A30" s="3"/>
      <c r="B30" s="418" t="s">
        <v>54</v>
      </c>
      <c r="C30" s="423" t="s">
        <v>55</v>
      </c>
      <c r="D30" s="421">
        <v>859.2</v>
      </c>
      <c r="E30" s="421"/>
      <c r="F30" s="421">
        <v>233.4</v>
      </c>
      <c r="G30" s="416">
        <v>1092.5999999999999</v>
      </c>
      <c r="H30" s="416"/>
      <c r="I30" s="420">
        <f t="shared" si="8"/>
        <v>1092.5999999999999</v>
      </c>
      <c r="J30" s="422">
        <v>1950</v>
      </c>
      <c r="K30" s="421"/>
      <c r="L30" s="421">
        <v>535</v>
      </c>
      <c r="M30" s="416">
        <f t="shared" si="9"/>
        <v>2485</v>
      </c>
      <c r="N30" s="416"/>
      <c r="O30" s="420">
        <f t="shared" si="10"/>
        <v>2485</v>
      </c>
      <c r="P30" s="422">
        <v>537.5</v>
      </c>
      <c r="Q30" s="421"/>
      <c r="R30" s="421">
        <v>153.1</v>
      </c>
      <c r="S30" s="416">
        <v>690.1</v>
      </c>
      <c r="T30" s="416"/>
      <c r="U30" s="420">
        <f t="shared" si="11"/>
        <v>690.1</v>
      </c>
      <c r="V30" s="422">
        <v>1300</v>
      </c>
      <c r="W30" s="421"/>
      <c r="X30" s="421">
        <v>300</v>
      </c>
      <c r="Y30" s="416">
        <f t="shared" si="12"/>
        <v>1600</v>
      </c>
      <c r="Z30" s="416"/>
      <c r="AA30" s="420">
        <f t="shared" si="13"/>
        <v>1600</v>
      </c>
      <c r="AB30" s="389">
        <f t="shared" si="14"/>
        <v>0.64386317907444668</v>
      </c>
      <c r="AC30" s="3"/>
      <c r="AD30" s="3"/>
    </row>
    <row r="31" spans="1:30" x14ac:dyDescent="0.25">
      <c r="A31" s="3"/>
      <c r="B31" s="418" t="s">
        <v>56</v>
      </c>
      <c r="C31" s="423" t="s">
        <v>57</v>
      </c>
      <c r="D31" s="421">
        <v>140</v>
      </c>
      <c r="E31" s="421"/>
      <c r="F31" s="421">
        <v>666.3</v>
      </c>
      <c r="G31" s="416">
        <f t="shared" ref="G31:G39" si="15">SUM(D31:F31)</f>
        <v>806.3</v>
      </c>
      <c r="H31" s="416"/>
      <c r="I31" s="420">
        <f t="shared" si="8"/>
        <v>806.3</v>
      </c>
      <c r="J31" s="422">
        <v>79</v>
      </c>
      <c r="K31" s="421"/>
      <c r="L31" s="421">
        <v>995</v>
      </c>
      <c r="M31" s="416">
        <f t="shared" si="9"/>
        <v>1074</v>
      </c>
      <c r="N31" s="416"/>
      <c r="O31" s="420">
        <f t="shared" si="10"/>
        <v>1074</v>
      </c>
      <c r="P31" s="422"/>
      <c r="Q31" s="421">
        <v>232.7</v>
      </c>
      <c r="R31" s="421">
        <v>398.7</v>
      </c>
      <c r="S31" s="416">
        <f t="shared" ref="S31:S39" si="16">SUM(P31:R31)</f>
        <v>631.4</v>
      </c>
      <c r="T31" s="416"/>
      <c r="U31" s="420">
        <f t="shared" si="11"/>
        <v>631.4</v>
      </c>
      <c r="V31" s="422">
        <v>75</v>
      </c>
      <c r="W31" s="421"/>
      <c r="X31" s="421">
        <v>1100</v>
      </c>
      <c r="Y31" s="416">
        <f t="shared" si="12"/>
        <v>1175</v>
      </c>
      <c r="Z31" s="416"/>
      <c r="AA31" s="420">
        <f t="shared" si="13"/>
        <v>1175</v>
      </c>
      <c r="AB31" s="389">
        <f t="shared" si="14"/>
        <v>1.0940409683426444</v>
      </c>
      <c r="AC31" s="3"/>
      <c r="AD31" s="3"/>
    </row>
    <row r="32" spans="1:30" x14ac:dyDescent="0.25">
      <c r="A32" s="3"/>
      <c r="B32" s="418" t="s">
        <v>58</v>
      </c>
      <c r="C32" s="423" t="s">
        <v>59</v>
      </c>
      <c r="D32" s="425">
        <v>350</v>
      </c>
      <c r="E32" s="421">
        <v>17406.099999999999</v>
      </c>
      <c r="F32" s="421">
        <v>50</v>
      </c>
      <c r="G32" s="416">
        <f t="shared" si="15"/>
        <v>17806.099999999999</v>
      </c>
      <c r="H32" s="416">
        <v>14.7</v>
      </c>
      <c r="I32" s="420">
        <f t="shared" si="8"/>
        <v>17820.8</v>
      </c>
      <c r="J32" s="424">
        <v>337</v>
      </c>
      <c r="K32" s="421">
        <v>19450</v>
      </c>
      <c r="L32" s="421">
        <v>142</v>
      </c>
      <c r="M32" s="416">
        <f t="shared" si="9"/>
        <v>19929</v>
      </c>
      <c r="N32" s="416">
        <v>50</v>
      </c>
      <c r="O32" s="420">
        <f t="shared" si="10"/>
        <v>19979</v>
      </c>
      <c r="P32" s="424">
        <v>116.1</v>
      </c>
      <c r="Q32" s="421">
        <v>7981.3</v>
      </c>
      <c r="R32" s="421"/>
      <c r="S32" s="416">
        <f t="shared" si="16"/>
        <v>8097.4000000000005</v>
      </c>
      <c r="T32" s="416">
        <v>11.3</v>
      </c>
      <c r="U32" s="420">
        <f t="shared" si="11"/>
        <v>8108.7000000000007</v>
      </c>
      <c r="V32" s="424">
        <v>337</v>
      </c>
      <c r="W32" s="421">
        <v>25000</v>
      </c>
      <c r="X32" s="421">
        <v>100</v>
      </c>
      <c r="Y32" s="416">
        <f t="shared" si="12"/>
        <v>25437</v>
      </c>
      <c r="Z32" s="416">
        <v>50</v>
      </c>
      <c r="AA32" s="420">
        <f t="shared" si="13"/>
        <v>25487</v>
      </c>
      <c r="AB32" s="389">
        <f t="shared" si="14"/>
        <v>1.275689473947645</v>
      </c>
      <c r="AC32" s="3"/>
      <c r="AD32" s="3"/>
    </row>
    <row r="33" spans="1:30" x14ac:dyDescent="0.25">
      <c r="A33" s="3"/>
      <c r="B33" s="418" t="s">
        <v>60</v>
      </c>
      <c r="C33" s="427" t="s">
        <v>61</v>
      </c>
      <c r="D33" s="425">
        <v>350</v>
      </c>
      <c r="E33" s="421">
        <v>16959.599999999999</v>
      </c>
      <c r="F33" s="421">
        <v>50</v>
      </c>
      <c r="G33" s="416">
        <f t="shared" si="15"/>
        <v>17359.599999999999</v>
      </c>
      <c r="H33" s="416">
        <v>14.7</v>
      </c>
      <c r="I33" s="420">
        <f t="shared" si="8"/>
        <v>17374.3</v>
      </c>
      <c r="J33" s="424" t="s">
        <v>132</v>
      </c>
      <c r="K33" s="421"/>
      <c r="L33" s="421"/>
      <c r="M33" s="416">
        <f t="shared" si="9"/>
        <v>0</v>
      </c>
      <c r="N33" s="416">
        <v>50</v>
      </c>
      <c r="O33" s="420">
        <f t="shared" si="10"/>
        <v>50</v>
      </c>
      <c r="P33" s="424">
        <v>116.1</v>
      </c>
      <c r="Q33" s="421">
        <v>7758.5</v>
      </c>
      <c r="R33" s="421"/>
      <c r="S33" s="416">
        <f t="shared" si="16"/>
        <v>7874.6</v>
      </c>
      <c r="T33" s="416">
        <v>11.3</v>
      </c>
      <c r="U33" s="420">
        <f t="shared" si="11"/>
        <v>7885.9000000000005</v>
      </c>
      <c r="V33" s="424"/>
      <c r="W33" s="421"/>
      <c r="X33" s="421"/>
      <c r="Y33" s="416">
        <f t="shared" si="12"/>
        <v>0</v>
      </c>
      <c r="Z33" s="416">
        <v>50</v>
      </c>
      <c r="AA33" s="420">
        <f t="shared" si="13"/>
        <v>50</v>
      </c>
      <c r="AB33" s="389">
        <f t="shared" si="14"/>
        <v>1</v>
      </c>
      <c r="AC33" s="3"/>
      <c r="AD33" s="3"/>
    </row>
    <row r="34" spans="1:30" x14ac:dyDescent="0.25">
      <c r="A34" s="3"/>
      <c r="B34" s="418" t="s">
        <v>62</v>
      </c>
      <c r="C34" s="426" t="s">
        <v>63</v>
      </c>
      <c r="D34" s="425" t="s">
        <v>132</v>
      </c>
      <c r="E34" s="421">
        <v>446.5</v>
      </c>
      <c r="F34" s="421"/>
      <c r="G34" s="416">
        <f t="shared" si="15"/>
        <v>446.5</v>
      </c>
      <c r="H34" s="416"/>
      <c r="I34" s="420">
        <f t="shared" si="8"/>
        <v>446.5</v>
      </c>
      <c r="J34" s="424" t="s">
        <v>132</v>
      </c>
      <c r="K34" s="421"/>
      <c r="L34" s="421"/>
      <c r="M34" s="416">
        <f t="shared" si="9"/>
        <v>0</v>
      </c>
      <c r="N34" s="416"/>
      <c r="O34" s="420">
        <f t="shared" si="10"/>
        <v>0</v>
      </c>
      <c r="P34" s="424" t="s">
        <v>132</v>
      </c>
      <c r="Q34" s="421">
        <v>222.79</v>
      </c>
      <c r="R34" s="421"/>
      <c r="S34" s="416">
        <f t="shared" si="16"/>
        <v>222.79</v>
      </c>
      <c r="T34" s="416"/>
      <c r="U34" s="420">
        <f t="shared" si="11"/>
        <v>222.79</v>
      </c>
      <c r="V34" s="424" t="s">
        <v>132</v>
      </c>
      <c r="W34" s="421"/>
      <c r="X34" s="421"/>
      <c r="Y34" s="416">
        <f t="shared" si="12"/>
        <v>0</v>
      </c>
      <c r="Z34" s="416"/>
      <c r="AA34" s="420">
        <f t="shared" si="13"/>
        <v>0</v>
      </c>
      <c r="AB34" s="389" t="e">
        <f t="shared" si="14"/>
        <v>#DIV/0!</v>
      </c>
      <c r="AC34" s="3"/>
      <c r="AD34" s="3"/>
    </row>
    <row r="35" spans="1:30" x14ac:dyDescent="0.25">
      <c r="A35" s="3"/>
      <c r="B35" s="418" t="s">
        <v>64</v>
      </c>
      <c r="C35" s="423" t="s">
        <v>65</v>
      </c>
      <c r="D35" s="425">
        <v>50</v>
      </c>
      <c r="E35" s="421">
        <v>5687.5</v>
      </c>
      <c r="F35" s="421">
        <v>18</v>
      </c>
      <c r="G35" s="416">
        <f t="shared" si="15"/>
        <v>5755.5</v>
      </c>
      <c r="H35" s="416"/>
      <c r="I35" s="420">
        <f t="shared" si="8"/>
        <v>5755.5</v>
      </c>
      <c r="J35" s="424"/>
      <c r="K35" s="421">
        <v>6500</v>
      </c>
      <c r="L35" s="421"/>
      <c r="M35" s="416">
        <f t="shared" si="9"/>
        <v>6500</v>
      </c>
      <c r="N35" s="416"/>
      <c r="O35" s="420">
        <f t="shared" si="10"/>
        <v>6500</v>
      </c>
      <c r="P35" s="424">
        <v>20.3</v>
      </c>
      <c r="Q35" s="421">
        <v>2558.4</v>
      </c>
      <c r="R35" s="421"/>
      <c r="S35" s="416">
        <f t="shared" si="16"/>
        <v>2578.7000000000003</v>
      </c>
      <c r="T35" s="416"/>
      <c r="U35" s="420">
        <f t="shared" si="11"/>
        <v>2578.7000000000003</v>
      </c>
      <c r="V35" s="424"/>
      <c r="W35" s="421"/>
      <c r="X35" s="421"/>
      <c r="Y35" s="416">
        <f t="shared" si="12"/>
        <v>0</v>
      </c>
      <c r="Z35" s="416"/>
      <c r="AA35" s="420">
        <f t="shared" si="13"/>
        <v>0</v>
      </c>
      <c r="AB35" s="389">
        <f t="shared" si="14"/>
        <v>0</v>
      </c>
      <c r="AC35" s="3"/>
      <c r="AD35" s="3"/>
    </row>
    <row r="36" spans="1:30" x14ac:dyDescent="0.25">
      <c r="A36" s="3"/>
      <c r="B36" s="418" t="s">
        <v>66</v>
      </c>
      <c r="C36" s="423" t="s">
        <v>67</v>
      </c>
      <c r="D36" s="421" t="s">
        <v>132</v>
      </c>
      <c r="E36" s="421"/>
      <c r="F36" s="421"/>
      <c r="G36" s="416">
        <f t="shared" si="15"/>
        <v>0</v>
      </c>
      <c r="H36" s="416"/>
      <c r="I36" s="420">
        <f t="shared" si="8"/>
        <v>0</v>
      </c>
      <c r="J36" s="422" t="s">
        <v>132</v>
      </c>
      <c r="K36" s="421"/>
      <c r="L36" s="421"/>
      <c r="M36" s="416">
        <f t="shared" si="9"/>
        <v>0</v>
      </c>
      <c r="N36" s="416"/>
      <c r="O36" s="420">
        <f t="shared" si="10"/>
        <v>0</v>
      </c>
      <c r="P36" s="422"/>
      <c r="Q36" s="421"/>
      <c r="R36" s="421"/>
      <c r="S36" s="416">
        <f t="shared" si="16"/>
        <v>0</v>
      </c>
      <c r="T36" s="416"/>
      <c r="U36" s="420">
        <f t="shared" si="11"/>
        <v>0</v>
      </c>
      <c r="V36" s="422"/>
      <c r="W36" s="421"/>
      <c r="X36" s="421"/>
      <c r="Y36" s="416">
        <f t="shared" si="12"/>
        <v>0</v>
      </c>
      <c r="Z36" s="416"/>
      <c r="AA36" s="420">
        <f t="shared" si="13"/>
        <v>0</v>
      </c>
      <c r="AB36" s="389" t="e">
        <f t="shared" si="14"/>
        <v>#DIV/0!</v>
      </c>
      <c r="AC36" s="3"/>
      <c r="AD36" s="3"/>
    </row>
    <row r="37" spans="1:30" x14ac:dyDescent="0.25">
      <c r="A37" s="3"/>
      <c r="B37" s="418" t="s">
        <v>68</v>
      </c>
      <c r="C37" s="423" t="s">
        <v>69</v>
      </c>
      <c r="D37" s="421">
        <v>371.8</v>
      </c>
      <c r="E37" s="421"/>
      <c r="F37" s="421">
        <v>267</v>
      </c>
      <c r="G37" s="416">
        <f t="shared" si="15"/>
        <v>638.79999999999995</v>
      </c>
      <c r="H37" s="416"/>
      <c r="I37" s="420">
        <f t="shared" si="8"/>
        <v>638.79999999999995</v>
      </c>
      <c r="J37" s="422">
        <v>372</v>
      </c>
      <c r="K37" s="421"/>
      <c r="L37" s="421">
        <v>267</v>
      </c>
      <c r="M37" s="416">
        <f t="shared" si="9"/>
        <v>639</v>
      </c>
      <c r="N37" s="416"/>
      <c r="O37" s="420">
        <f t="shared" si="10"/>
        <v>639</v>
      </c>
      <c r="P37" s="422">
        <v>192.6</v>
      </c>
      <c r="Q37" s="421"/>
      <c r="R37" s="421">
        <v>133.5</v>
      </c>
      <c r="S37" s="416">
        <f t="shared" si="16"/>
        <v>326.10000000000002</v>
      </c>
      <c r="T37" s="416"/>
      <c r="U37" s="420">
        <f t="shared" si="11"/>
        <v>326.10000000000002</v>
      </c>
      <c r="V37" s="422">
        <v>372</v>
      </c>
      <c r="W37" s="421"/>
      <c r="X37" s="421">
        <v>267</v>
      </c>
      <c r="Y37" s="416">
        <f t="shared" si="12"/>
        <v>639</v>
      </c>
      <c r="Z37" s="416"/>
      <c r="AA37" s="420">
        <f t="shared" si="13"/>
        <v>639</v>
      </c>
      <c r="AB37" s="389">
        <f t="shared" si="14"/>
        <v>1</v>
      </c>
      <c r="AC37" s="3"/>
      <c r="AD37" s="3"/>
    </row>
    <row r="38" spans="1:30" ht="15.75" thickBot="1" x14ac:dyDescent="0.3">
      <c r="A38" s="3"/>
      <c r="B38" s="484" t="s">
        <v>70</v>
      </c>
      <c r="C38" s="417" t="s">
        <v>71</v>
      </c>
      <c r="D38" s="414"/>
      <c r="E38" s="414"/>
      <c r="F38" s="414">
        <v>405.6</v>
      </c>
      <c r="G38" s="416">
        <f t="shared" si="15"/>
        <v>405.6</v>
      </c>
      <c r="H38" s="413"/>
      <c r="I38" s="412">
        <f t="shared" si="8"/>
        <v>405.6</v>
      </c>
      <c r="J38" s="415"/>
      <c r="K38" s="414"/>
      <c r="L38" s="414">
        <v>423</v>
      </c>
      <c r="M38" s="413">
        <f t="shared" si="9"/>
        <v>423</v>
      </c>
      <c r="N38" s="413"/>
      <c r="O38" s="412">
        <f t="shared" si="10"/>
        <v>423</v>
      </c>
      <c r="P38" s="415"/>
      <c r="Q38" s="414"/>
      <c r="R38" s="414">
        <v>100</v>
      </c>
      <c r="S38" s="413">
        <f t="shared" si="16"/>
        <v>100</v>
      </c>
      <c r="T38" s="413"/>
      <c r="U38" s="412">
        <f t="shared" si="11"/>
        <v>100</v>
      </c>
      <c r="V38" s="415"/>
      <c r="W38" s="414"/>
      <c r="X38" s="414">
        <v>500</v>
      </c>
      <c r="Y38" s="413">
        <f t="shared" si="12"/>
        <v>500</v>
      </c>
      <c r="Z38" s="413"/>
      <c r="AA38" s="412">
        <f t="shared" si="13"/>
        <v>500</v>
      </c>
      <c r="AB38" s="411">
        <f t="shared" si="14"/>
        <v>1.1820330969267139</v>
      </c>
      <c r="AC38" s="3"/>
      <c r="AD38" s="3"/>
    </row>
    <row r="39" spans="1:30" ht="15.75" thickBot="1" x14ac:dyDescent="0.3">
      <c r="A39" s="3"/>
      <c r="B39" s="410" t="s">
        <v>72</v>
      </c>
      <c r="C39" s="409" t="s">
        <v>73</v>
      </c>
      <c r="D39" s="408">
        <f>SUM(D35:D38)+SUM(D28:D32)</f>
        <v>1771</v>
      </c>
      <c r="E39" s="408">
        <f>SUM(E35:E38)+SUM(E28:E32)</f>
        <v>23093.599999999999</v>
      </c>
      <c r="F39" s="408">
        <f>SUM(F35:F38)+SUM(F28:F32)</f>
        <v>2590.5</v>
      </c>
      <c r="G39" s="407">
        <f t="shared" si="15"/>
        <v>27455.1</v>
      </c>
      <c r="H39" s="406">
        <f>SUM(H28:H32)+SUM(H35:H38)</f>
        <v>14.7</v>
      </c>
      <c r="I39" s="405">
        <f>SUM(I35:I38)+SUM(I28:I32)</f>
        <v>27469.8</v>
      </c>
      <c r="J39" s="408">
        <f>SUM(J35:J38)+SUM(J28:J32)</f>
        <v>2738</v>
      </c>
      <c r="K39" s="408">
        <f>SUM(K35:K38)+SUM(K28:K32)</f>
        <v>25950</v>
      </c>
      <c r="L39" s="408">
        <f>SUM(L35:L38)+SUM(L28:L32)</f>
        <v>3267</v>
      </c>
      <c r="M39" s="407">
        <f t="shared" si="9"/>
        <v>31955</v>
      </c>
      <c r="N39" s="406">
        <f>SUM(N28:N32)+SUM(N35:N38)</f>
        <v>50</v>
      </c>
      <c r="O39" s="405">
        <f>SUM(O35:O38)+SUM(O28:O32)</f>
        <v>32005</v>
      </c>
      <c r="P39" s="408">
        <f>SUM(P35:P38)+SUM(P28:P32)</f>
        <v>866.5</v>
      </c>
      <c r="Q39" s="408">
        <f>SUM(Q35:Q38)+SUM(Q28:Q32)</f>
        <v>10772.4</v>
      </c>
      <c r="R39" s="408">
        <f>SUM(R35:R38)+SUM(R28:R32)</f>
        <v>951.25</v>
      </c>
      <c r="S39" s="407">
        <f t="shared" si="16"/>
        <v>12590.15</v>
      </c>
      <c r="T39" s="406">
        <f>SUM(T28:T32)+SUM(T35:T38)</f>
        <v>11.3</v>
      </c>
      <c r="U39" s="405">
        <f>SUM(U35:U38)+SUM(U28:U32)</f>
        <v>12600.95</v>
      </c>
      <c r="V39" s="408">
        <f>SUM(V35:V38)+SUM(V28:V32)</f>
        <v>2084</v>
      </c>
      <c r="W39" s="408">
        <f>SUM(W35:W38)+SUM(W28:W32)</f>
        <v>25000</v>
      </c>
      <c r="X39" s="408">
        <f>SUM(X35:X38)+SUM(X28:X32)</f>
        <v>3267</v>
      </c>
      <c r="Y39" s="407">
        <f t="shared" si="12"/>
        <v>30351</v>
      </c>
      <c r="Z39" s="406">
        <f>SUM(Z28:Z32)+SUM(Z35:Z38)</f>
        <v>50</v>
      </c>
      <c r="AA39" s="405">
        <f>SUM(AA35:AA38)+SUM(AA28:AA32)</f>
        <v>30401</v>
      </c>
      <c r="AB39" s="404">
        <f t="shared" si="14"/>
        <v>0.94988283080768632</v>
      </c>
      <c r="AC39" s="3"/>
      <c r="AD39" s="3"/>
    </row>
    <row r="40" spans="1:30" ht="19.5" thickBot="1" x14ac:dyDescent="0.35">
      <c r="A40" s="3"/>
      <c r="B40" s="403" t="s">
        <v>74</v>
      </c>
      <c r="C40" s="402" t="s">
        <v>75</v>
      </c>
      <c r="D40" s="401">
        <f t="shared" ref="D40:AA40" si="17">D24-D39</f>
        <v>0</v>
      </c>
      <c r="E40" s="401">
        <f t="shared" si="17"/>
        <v>0</v>
      </c>
      <c r="F40" s="401">
        <f t="shared" si="17"/>
        <v>68.199999999999818</v>
      </c>
      <c r="G40" s="400">
        <f t="shared" si="17"/>
        <v>68.200000000000728</v>
      </c>
      <c r="H40" s="400">
        <f t="shared" si="17"/>
        <v>46.7</v>
      </c>
      <c r="I40" s="399">
        <f t="shared" si="17"/>
        <v>114.90000000000146</v>
      </c>
      <c r="J40" s="401">
        <f t="shared" si="17"/>
        <v>0</v>
      </c>
      <c r="K40" s="401">
        <f t="shared" si="17"/>
        <v>0</v>
      </c>
      <c r="L40" s="401">
        <f t="shared" si="17"/>
        <v>-100</v>
      </c>
      <c r="M40" s="400">
        <f t="shared" si="17"/>
        <v>-100</v>
      </c>
      <c r="N40" s="400">
        <f t="shared" si="17"/>
        <v>100</v>
      </c>
      <c r="O40" s="399">
        <f t="shared" si="17"/>
        <v>0</v>
      </c>
      <c r="P40" s="401">
        <f t="shared" si="17"/>
        <v>-1.0999999999967258E-2</v>
      </c>
      <c r="Q40" s="401">
        <f t="shared" si="17"/>
        <v>712.26699999999983</v>
      </c>
      <c r="R40" s="401">
        <f t="shared" si="17"/>
        <v>754.86300000000028</v>
      </c>
      <c r="S40" s="400">
        <f t="shared" si="17"/>
        <v>1467.1190000000006</v>
      </c>
      <c r="T40" s="400">
        <f t="shared" si="17"/>
        <v>64</v>
      </c>
      <c r="U40" s="399">
        <f t="shared" si="17"/>
        <v>1531.6190000000006</v>
      </c>
      <c r="V40" s="401">
        <f t="shared" si="17"/>
        <v>0</v>
      </c>
      <c r="W40" s="401">
        <f t="shared" si="17"/>
        <v>0</v>
      </c>
      <c r="X40" s="401">
        <f t="shared" si="17"/>
        <v>-100</v>
      </c>
      <c r="Y40" s="400">
        <f t="shared" si="17"/>
        <v>-100</v>
      </c>
      <c r="Z40" s="400">
        <f t="shared" si="17"/>
        <v>100</v>
      </c>
      <c r="AA40" s="399">
        <f t="shared" si="17"/>
        <v>0</v>
      </c>
      <c r="AB40" s="398" t="e">
        <f t="shared" si="14"/>
        <v>#DIV/0!</v>
      </c>
      <c r="AC40" s="3"/>
      <c r="AD40" s="3"/>
    </row>
    <row r="41" spans="1:30" ht="15.75" thickBot="1" x14ac:dyDescent="0.3">
      <c r="A41" s="3"/>
      <c r="B41" s="397" t="s">
        <v>76</v>
      </c>
      <c r="C41" s="396" t="s">
        <v>77</v>
      </c>
      <c r="D41" s="394"/>
      <c r="E41" s="393"/>
      <c r="F41" s="393"/>
      <c r="G41" s="392"/>
      <c r="H41" s="395"/>
      <c r="I41" s="390">
        <f>I40-D16</f>
        <v>-1366.0999999999985</v>
      </c>
      <c r="J41" s="394"/>
      <c r="K41" s="393"/>
      <c r="L41" s="393"/>
      <c r="M41" s="392"/>
      <c r="N41" s="391"/>
      <c r="O41" s="390">
        <f>O40-J16</f>
        <v>-1570</v>
      </c>
      <c r="P41" s="394"/>
      <c r="Q41" s="393"/>
      <c r="R41" s="393"/>
      <c r="S41" s="392"/>
      <c r="T41" s="391"/>
      <c r="U41" s="390">
        <f>U40-P16</f>
        <v>746.62000000000057</v>
      </c>
      <c r="V41" s="394"/>
      <c r="W41" s="393"/>
      <c r="X41" s="393"/>
      <c r="Y41" s="392"/>
      <c r="Z41" s="391"/>
      <c r="AA41" s="390">
        <f>AA40-V16</f>
        <v>-1872</v>
      </c>
      <c r="AB41" s="389">
        <f t="shared" si="14"/>
        <v>1.1923566878980891</v>
      </c>
      <c r="AC41" s="3"/>
      <c r="AD41" s="3"/>
    </row>
    <row r="42" spans="1:30" ht="8.25" customHeight="1" thickBot="1" x14ac:dyDescent="0.3">
      <c r="A42" s="3"/>
      <c r="B42" s="382"/>
      <c r="C42" s="370"/>
      <c r="D42" s="388"/>
      <c r="E42" s="369"/>
      <c r="F42" s="369"/>
      <c r="G42" s="3"/>
      <c r="H42" s="369"/>
      <c r="I42" s="369"/>
      <c r="J42" s="388"/>
      <c r="K42" s="369"/>
      <c r="L42" s="369"/>
      <c r="M42" s="3"/>
      <c r="N42" s="369"/>
      <c r="O42" s="369"/>
      <c r="P42" s="369"/>
      <c r="Q42" s="369"/>
      <c r="R42" s="369"/>
      <c r="S42" s="369"/>
      <c r="T42" s="369"/>
      <c r="U42" s="369"/>
      <c r="V42" s="3"/>
      <c r="W42" s="3"/>
      <c r="X42" s="3"/>
      <c r="Y42" s="3"/>
      <c r="Z42" s="3"/>
      <c r="AA42" s="3"/>
      <c r="AB42" s="3"/>
      <c r="AC42" s="3"/>
      <c r="AD42" s="3"/>
    </row>
    <row r="43" spans="1:30" ht="15.75" customHeight="1" thickBot="1" x14ac:dyDescent="0.3">
      <c r="A43" s="3"/>
      <c r="B43" s="382"/>
      <c r="C43" s="873" t="s">
        <v>78</v>
      </c>
      <c r="D43" s="112" t="s">
        <v>79</v>
      </c>
      <c r="E43" s="387" t="s">
        <v>80</v>
      </c>
      <c r="F43" s="386" t="s">
        <v>81</v>
      </c>
      <c r="G43" s="369"/>
      <c r="H43" s="369"/>
      <c r="I43" s="368"/>
      <c r="J43" s="112" t="s">
        <v>79</v>
      </c>
      <c r="K43" s="387" t="s">
        <v>80</v>
      </c>
      <c r="L43" s="386" t="s">
        <v>81</v>
      </c>
      <c r="M43" s="369"/>
      <c r="N43" s="369"/>
      <c r="O43" s="369"/>
      <c r="P43" s="112" t="s">
        <v>79</v>
      </c>
      <c r="Q43" s="387" t="s">
        <v>80</v>
      </c>
      <c r="R43" s="386" t="s">
        <v>81</v>
      </c>
      <c r="S43" s="3"/>
      <c r="T43" s="3"/>
      <c r="U43" s="3"/>
      <c r="V43" s="112" t="s">
        <v>79</v>
      </c>
      <c r="W43" s="387" t="s">
        <v>80</v>
      </c>
      <c r="X43" s="386" t="s">
        <v>81</v>
      </c>
      <c r="Y43" s="3"/>
      <c r="Z43" s="3"/>
      <c r="AA43" s="3"/>
      <c r="AB43" s="3"/>
      <c r="AC43" s="3"/>
      <c r="AD43" s="3"/>
    </row>
    <row r="44" spans="1:30" ht="15.75" thickBot="1" x14ac:dyDescent="0.3">
      <c r="A44" s="3"/>
      <c r="B44" s="382"/>
      <c r="C44" s="874"/>
      <c r="D44" s="378">
        <v>112.4</v>
      </c>
      <c r="E44" s="385">
        <v>112.4</v>
      </c>
      <c r="F44" s="384">
        <v>0</v>
      </c>
      <c r="G44" s="369"/>
      <c r="H44" s="369"/>
      <c r="I44" s="368"/>
      <c r="J44" s="378">
        <v>112.4</v>
      </c>
      <c r="K44" s="385">
        <v>112.4</v>
      </c>
      <c r="L44" s="384">
        <v>0</v>
      </c>
      <c r="M44" s="383"/>
      <c r="N44" s="383"/>
      <c r="O44" s="383"/>
      <c r="P44" s="378">
        <v>56.2</v>
      </c>
      <c r="Q44" s="385">
        <v>56.2</v>
      </c>
      <c r="R44" s="384">
        <v>0</v>
      </c>
      <c r="S44" s="3"/>
      <c r="T44" s="3"/>
      <c r="U44" s="3"/>
      <c r="V44" s="378">
        <v>112.4</v>
      </c>
      <c r="W44" s="385">
        <v>112.4</v>
      </c>
      <c r="X44" s="384">
        <v>0</v>
      </c>
      <c r="Y44" s="3"/>
      <c r="Z44" s="3"/>
      <c r="AA44" s="3"/>
      <c r="AB44" s="3"/>
      <c r="AC44" s="3"/>
      <c r="AD44" s="3"/>
    </row>
    <row r="45" spans="1:30" ht="8.25" customHeight="1" thickBot="1" x14ac:dyDescent="0.3">
      <c r="A45" s="3"/>
      <c r="B45" s="382"/>
      <c r="C45" s="370"/>
      <c r="D45" s="383"/>
      <c r="E45" s="369"/>
      <c r="F45" s="369"/>
      <c r="G45" s="369"/>
      <c r="H45" s="369"/>
      <c r="I45" s="368"/>
      <c r="J45" s="369"/>
      <c r="K45" s="369"/>
      <c r="L45" s="369"/>
      <c r="M45" s="369"/>
      <c r="N45" s="369"/>
      <c r="O45" s="368"/>
      <c r="P45" s="368"/>
      <c r="Q45" s="368"/>
      <c r="R45" s="368"/>
      <c r="S45" s="368"/>
      <c r="T45" s="368"/>
      <c r="U45" s="368"/>
      <c r="V45" s="3"/>
      <c r="W45" s="3"/>
      <c r="X45" s="3"/>
      <c r="Y45" s="3"/>
      <c r="Z45" s="3"/>
      <c r="AA45" s="3"/>
      <c r="AB45" s="3"/>
      <c r="AC45" s="3"/>
      <c r="AD45" s="3"/>
    </row>
    <row r="46" spans="1:30" ht="37.5" customHeight="1" thickBot="1" x14ac:dyDescent="0.3">
      <c r="A46" s="3"/>
      <c r="B46" s="382"/>
      <c r="C46" s="873" t="s">
        <v>82</v>
      </c>
      <c r="D46" s="120" t="s">
        <v>83</v>
      </c>
      <c r="E46" s="380" t="s">
        <v>84</v>
      </c>
      <c r="F46" s="369"/>
      <c r="G46" s="369"/>
      <c r="H46" s="369"/>
      <c r="I46" s="368"/>
      <c r="J46" s="120" t="s">
        <v>83</v>
      </c>
      <c r="K46" s="380" t="s">
        <v>84</v>
      </c>
      <c r="L46" s="381"/>
      <c r="M46" s="381"/>
      <c r="N46" s="3"/>
      <c r="O46" s="3"/>
      <c r="P46" s="120" t="s">
        <v>83</v>
      </c>
      <c r="Q46" s="380" t="s">
        <v>84</v>
      </c>
      <c r="R46" s="3"/>
      <c r="S46" s="3"/>
      <c r="T46" s="3"/>
      <c r="U46" s="3"/>
      <c r="V46" s="120" t="s">
        <v>83</v>
      </c>
      <c r="W46" s="380" t="s">
        <v>84</v>
      </c>
      <c r="X46" s="3"/>
      <c r="Y46" s="3"/>
      <c r="Z46" s="3"/>
      <c r="AA46" s="3"/>
      <c r="AB46" s="3"/>
      <c r="AC46" s="3"/>
      <c r="AD46" s="3"/>
    </row>
    <row r="47" spans="1:30" ht="15.75" thickBot="1" x14ac:dyDescent="0.3">
      <c r="A47" s="3"/>
      <c r="B47" s="371"/>
      <c r="C47" s="875"/>
      <c r="D47" s="378">
        <v>0</v>
      </c>
      <c r="E47" s="377">
        <v>0</v>
      </c>
      <c r="F47" s="369"/>
      <c r="G47" s="369"/>
      <c r="H47" s="369"/>
      <c r="I47" s="368"/>
      <c r="J47" s="378">
        <v>0</v>
      </c>
      <c r="K47" s="377">
        <v>0</v>
      </c>
      <c r="L47" s="379"/>
      <c r="M47" s="379"/>
      <c r="N47" s="3"/>
      <c r="O47" s="3"/>
      <c r="P47" s="378">
        <v>0</v>
      </c>
      <c r="Q47" s="377">
        <v>0</v>
      </c>
      <c r="R47" s="3"/>
      <c r="S47" s="3"/>
      <c r="T47" s="3"/>
      <c r="U47" s="3"/>
      <c r="V47" s="378">
        <v>0</v>
      </c>
      <c r="W47" s="377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3"/>
      <c r="B48" s="371"/>
      <c r="C48" s="370"/>
      <c r="D48" s="369"/>
      <c r="E48" s="369"/>
      <c r="F48" s="369"/>
      <c r="G48" s="369"/>
      <c r="H48" s="369"/>
      <c r="I48" s="368"/>
      <c r="J48" s="369"/>
      <c r="K48" s="369"/>
      <c r="L48" s="369"/>
      <c r="M48" s="369"/>
      <c r="N48" s="369"/>
      <c r="O48" s="368"/>
      <c r="P48" s="368"/>
      <c r="Q48" s="368"/>
      <c r="R48" s="368"/>
      <c r="S48" s="368"/>
      <c r="T48" s="368"/>
      <c r="U48" s="368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"/>
      <c r="B49" s="371"/>
      <c r="C49" s="375" t="s">
        <v>85</v>
      </c>
      <c r="D49" s="374" t="s">
        <v>86</v>
      </c>
      <c r="E49" s="374" t="s">
        <v>87</v>
      </c>
      <c r="F49" s="374" t="s">
        <v>88</v>
      </c>
      <c r="G49" s="374" t="s">
        <v>89</v>
      </c>
      <c r="H49" s="369"/>
      <c r="I49" s="3"/>
      <c r="J49" s="374" t="s">
        <v>86</v>
      </c>
      <c r="K49" s="374" t="s">
        <v>87</v>
      </c>
      <c r="L49" s="374" t="s">
        <v>88</v>
      </c>
      <c r="M49" s="374" t="s">
        <v>90</v>
      </c>
      <c r="N49" s="3"/>
      <c r="O49" s="3"/>
      <c r="P49" s="374" t="s">
        <v>86</v>
      </c>
      <c r="Q49" s="374" t="s">
        <v>87</v>
      </c>
      <c r="R49" s="374" t="s">
        <v>88</v>
      </c>
      <c r="S49" s="374" t="s">
        <v>90</v>
      </c>
      <c r="T49" s="3"/>
      <c r="U49" s="3"/>
      <c r="V49" s="374" t="s">
        <v>92</v>
      </c>
      <c r="W49" s="374" t="s">
        <v>87</v>
      </c>
      <c r="X49" s="374" t="s">
        <v>88</v>
      </c>
      <c r="Y49" s="374" t="s">
        <v>90</v>
      </c>
      <c r="Z49" s="3"/>
      <c r="AA49" s="3"/>
      <c r="AB49" s="3"/>
      <c r="AC49" s="3"/>
      <c r="AD49" s="3"/>
    </row>
    <row r="50" spans="1:30" x14ac:dyDescent="0.25">
      <c r="A50" s="3"/>
      <c r="B50" s="371"/>
      <c r="C50" s="373" t="s">
        <v>93</v>
      </c>
      <c r="D50" s="132">
        <f>SUM(D51:D54)</f>
        <v>1309.7000000000003</v>
      </c>
      <c r="E50" s="132">
        <f>SUM(E51:E54)</f>
        <v>864.69999999999993</v>
      </c>
      <c r="F50" s="132">
        <f>SUM(F51:F54)</f>
        <v>564.79999999999995</v>
      </c>
      <c r="G50" s="132">
        <f>SUM(G51:G54)</f>
        <v>1609.6000000000001</v>
      </c>
      <c r="H50" s="369"/>
      <c r="I50" s="3"/>
      <c r="J50" s="131"/>
      <c r="K50" s="131"/>
      <c r="L50" s="131"/>
      <c r="M50" s="132">
        <f>J50+K50-L50</f>
        <v>0</v>
      </c>
      <c r="N50" s="3"/>
      <c r="O50" s="3"/>
      <c r="P50" s="131"/>
      <c r="Q50" s="131"/>
      <c r="R50" s="131"/>
      <c r="S50" s="132">
        <f>P50+Q50-R50</f>
        <v>0</v>
      </c>
      <c r="T50" s="3"/>
      <c r="U50" s="3"/>
      <c r="V50" s="131"/>
      <c r="W50" s="131"/>
      <c r="X50" s="131"/>
      <c r="Y50" s="132">
        <f>V50+W50-X50</f>
        <v>0</v>
      </c>
      <c r="Z50" s="3"/>
      <c r="AA50" s="3"/>
      <c r="AB50" s="3"/>
      <c r="AC50" s="3"/>
      <c r="AD50" s="3"/>
    </row>
    <row r="51" spans="1:30" x14ac:dyDescent="0.25">
      <c r="A51" s="3"/>
      <c r="B51" s="371"/>
      <c r="C51" s="373" t="s">
        <v>94</v>
      </c>
      <c r="D51" s="131">
        <v>666.7</v>
      </c>
      <c r="E51" s="131">
        <v>126.5</v>
      </c>
      <c r="F51" s="131">
        <v>30</v>
      </c>
      <c r="G51" s="132">
        <f>D51+E51-F51</f>
        <v>763.2</v>
      </c>
      <c r="H51" s="369"/>
      <c r="I51" s="3"/>
      <c r="J51" s="131">
        <v>763.2</v>
      </c>
      <c r="K51" s="131">
        <v>115</v>
      </c>
      <c r="L51" s="131"/>
      <c r="M51" s="132">
        <f>J51+K51-L51</f>
        <v>878.2</v>
      </c>
      <c r="N51" s="3"/>
      <c r="O51" s="3"/>
      <c r="P51" s="131">
        <v>763.2</v>
      </c>
      <c r="Q51" s="131">
        <v>95</v>
      </c>
      <c r="R51" s="131">
        <v>15.4</v>
      </c>
      <c r="S51" s="132">
        <v>840</v>
      </c>
      <c r="T51" s="3"/>
      <c r="U51" s="3"/>
      <c r="V51" s="131">
        <v>840</v>
      </c>
      <c r="W51" s="131">
        <v>20</v>
      </c>
      <c r="X51" s="131">
        <v>20</v>
      </c>
      <c r="Y51" s="132">
        <f>V51+W51-X51</f>
        <v>840</v>
      </c>
      <c r="Z51" s="3"/>
      <c r="AA51" s="3"/>
      <c r="AB51" s="3"/>
      <c r="AC51" s="3"/>
      <c r="AD51" s="3"/>
    </row>
    <row r="52" spans="1:30" x14ac:dyDescent="0.25">
      <c r="A52" s="3"/>
      <c r="B52" s="371"/>
      <c r="C52" s="373" t="s">
        <v>95</v>
      </c>
      <c r="D52" s="131">
        <v>303.60000000000002</v>
      </c>
      <c r="E52" s="131">
        <v>371.7</v>
      </c>
      <c r="F52" s="131">
        <f>106.7+112.4</f>
        <v>219.10000000000002</v>
      </c>
      <c r="G52" s="132">
        <f>D52+E52-F52</f>
        <v>456.19999999999993</v>
      </c>
      <c r="H52" s="369"/>
      <c r="I52" s="3"/>
      <c r="J52" s="131">
        <v>456.2</v>
      </c>
      <c r="K52" s="131">
        <v>372</v>
      </c>
      <c r="L52" s="131"/>
      <c r="M52" s="132">
        <f>J52+K52-L52</f>
        <v>828.2</v>
      </c>
      <c r="N52" s="3"/>
      <c r="O52" s="3"/>
      <c r="P52" s="131">
        <v>456.2</v>
      </c>
      <c r="Q52" s="131">
        <v>192.5</v>
      </c>
      <c r="R52" s="131">
        <v>56.2</v>
      </c>
      <c r="S52" s="132">
        <v>840</v>
      </c>
      <c r="T52" s="3"/>
      <c r="U52" s="3"/>
      <c r="V52" s="131">
        <v>840</v>
      </c>
      <c r="W52" s="131">
        <v>380</v>
      </c>
      <c r="X52" s="131"/>
      <c r="Y52" s="132">
        <f>V52+W52-X52</f>
        <v>1220</v>
      </c>
      <c r="Z52" s="3"/>
      <c r="AA52" s="3"/>
      <c r="AB52" s="3"/>
      <c r="AC52" s="3"/>
      <c r="AD52" s="3"/>
    </row>
    <row r="53" spans="1:30" x14ac:dyDescent="0.25">
      <c r="A53" s="3"/>
      <c r="B53" s="371"/>
      <c r="C53" s="373" t="s">
        <v>96</v>
      </c>
      <c r="D53" s="131">
        <v>229</v>
      </c>
      <c r="E53" s="131">
        <v>24.1</v>
      </c>
      <c r="F53" s="131">
        <v>13.7</v>
      </c>
      <c r="G53" s="132">
        <f>D53+E53-F53</f>
        <v>239.4</v>
      </c>
      <c r="H53" s="369"/>
      <c r="I53" s="3"/>
      <c r="J53" s="131">
        <v>239.4</v>
      </c>
      <c r="K53" s="131"/>
      <c r="L53" s="131">
        <v>15</v>
      </c>
      <c r="M53" s="132">
        <f>J53+K53-L53</f>
        <v>224.4</v>
      </c>
      <c r="N53" s="3"/>
      <c r="O53" s="3"/>
      <c r="P53" s="131">
        <v>239.4</v>
      </c>
      <c r="Q53" s="131">
        <v>20</v>
      </c>
      <c r="R53" s="131"/>
      <c r="S53" s="132">
        <v>260</v>
      </c>
      <c r="T53" s="3"/>
      <c r="U53" s="3"/>
      <c r="V53" s="131">
        <v>260</v>
      </c>
      <c r="W53" s="131"/>
      <c r="X53" s="131">
        <v>20</v>
      </c>
      <c r="Y53" s="132">
        <f>V53+W53-X53</f>
        <v>240</v>
      </c>
      <c r="Z53" s="3"/>
      <c r="AA53" s="3"/>
      <c r="AB53" s="3"/>
      <c r="AC53" s="3"/>
      <c r="AD53" s="3"/>
    </row>
    <row r="54" spans="1:30" x14ac:dyDescent="0.25">
      <c r="A54" s="3"/>
      <c r="B54" s="371"/>
      <c r="C54" s="376" t="s">
        <v>97</v>
      </c>
      <c r="D54" s="131">
        <v>110.4</v>
      </c>
      <c r="E54" s="131">
        <v>342.4</v>
      </c>
      <c r="F54" s="131">
        <v>302</v>
      </c>
      <c r="G54" s="132">
        <f>D54+E54-F54</f>
        <v>150.79999999999995</v>
      </c>
      <c r="H54" s="369"/>
      <c r="I54" s="3"/>
      <c r="J54" s="131">
        <v>150.80000000000001</v>
      </c>
      <c r="K54" s="131">
        <v>350</v>
      </c>
      <c r="L54" s="131">
        <v>350</v>
      </c>
      <c r="M54" s="132">
        <f>J54+K54-L54</f>
        <v>150.80000000000001</v>
      </c>
      <c r="N54" s="3"/>
      <c r="O54" s="3"/>
      <c r="P54" s="131">
        <v>150.80000000000001</v>
      </c>
      <c r="Q54" s="131">
        <v>153.80000000000001</v>
      </c>
      <c r="R54" s="131">
        <v>174.7</v>
      </c>
      <c r="S54" s="132">
        <v>130</v>
      </c>
      <c r="T54" s="3"/>
      <c r="U54" s="3"/>
      <c r="V54" s="131">
        <v>130</v>
      </c>
      <c r="W54" s="131">
        <v>350</v>
      </c>
      <c r="X54" s="131">
        <v>350</v>
      </c>
      <c r="Y54" s="132">
        <f>V54+W54-X54</f>
        <v>130</v>
      </c>
      <c r="Z54" s="3"/>
      <c r="AA54" s="3"/>
      <c r="AB54" s="3"/>
      <c r="AC54" s="3"/>
      <c r="AD54" s="3"/>
    </row>
    <row r="55" spans="1:30" ht="10.5" customHeight="1" x14ac:dyDescent="0.25">
      <c r="A55" s="3"/>
      <c r="B55" s="371"/>
      <c r="C55" s="370"/>
      <c r="D55" s="369"/>
      <c r="E55" s="369"/>
      <c r="F55" s="369"/>
      <c r="G55" s="369"/>
      <c r="H55" s="36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3"/>
      <c r="B56" s="371"/>
      <c r="C56" s="375" t="s">
        <v>98</v>
      </c>
      <c r="D56" s="374" t="s">
        <v>99</v>
      </c>
      <c r="E56" s="374" t="s">
        <v>100</v>
      </c>
      <c r="F56" s="369"/>
      <c r="G56" s="369"/>
      <c r="H56" s="369"/>
      <c r="I56" s="368"/>
      <c r="J56" s="374" t="s">
        <v>101</v>
      </c>
      <c r="K56" s="369"/>
      <c r="L56" s="369"/>
      <c r="M56" s="369"/>
      <c r="N56" s="369"/>
      <c r="O56" s="368"/>
      <c r="P56" s="374" t="s">
        <v>102</v>
      </c>
      <c r="Q56" s="368"/>
      <c r="R56" s="368"/>
      <c r="S56" s="368"/>
      <c r="T56" s="368"/>
      <c r="U56" s="368"/>
      <c r="V56" s="374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3"/>
      <c r="B57" s="371"/>
      <c r="C57" s="373"/>
      <c r="D57" s="372">
        <v>33</v>
      </c>
      <c r="E57" s="372">
        <v>32.5</v>
      </c>
      <c r="F57" s="369"/>
      <c r="G57" s="369"/>
      <c r="H57" s="369"/>
      <c r="I57" s="368"/>
      <c r="J57" s="372">
        <v>34</v>
      </c>
      <c r="K57" s="369"/>
      <c r="L57" s="369"/>
      <c r="M57" s="369"/>
      <c r="N57" s="369"/>
      <c r="O57" s="368"/>
      <c r="P57" s="372">
        <v>32.33</v>
      </c>
      <c r="Q57" s="368"/>
      <c r="R57" s="368"/>
      <c r="S57" s="368"/>
      <c r="T57" s="368"/>
      <c r="U57" s="368"/>
      <c r="V57" s="372">
        <v>34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3"/>
      <c r="B58" s="371"/>
      <c r="C58" s="370"/>
      <c r="D58" s="369"/>
      <c r="E58" s="369"/>
      <c r="F58" s="369"/>
      <c r="G58" s="369"/>
      <c r="H58" s="369"/>
      <c r="I58" s="368"/>
      <c r="J58" s="369"/>
      <c r="K58" s="369"/>
      <c r="L58" s="369"/>
      <c r="M58" s="369"/>
      <c r="N58" s="369"/>
      <c r="O58" s="368"/>
      <c r="P58" s="368"/>
      <c r="Q58" s="368"/>
      <c r="R58" s="368"/>
      <c r="S58" s="368"/>
      <c r="T58" s="368"/>
      <c r="U58" s="368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3"/>
      <c r="B59" s="367" t="s">
        <v>103</v>
      </c>
      <c r="C59" s="366"/>
      <c r="D59" s="876"/>
      <c r="E59" s="876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6"/>
      <c r="Q59" s="876"/>
      <c r="R59" s="876"/>
      <c r="S59" s="876"/>
      <c r="T59" s="876"/>
      <c r="U59" s="876"/>
      <c r="V59" s="365"/>
      <c r="W59" s="365"/>
      <c r="X59" s="365"/>
      <c r="Y59" s="365"/>
      <c r="Z59" s="365"/>
      <c r="AA59" s="365"/>
      <c r="AB59" s="364"/>
      <c r="AC59" s="3"/>
      <c r="AD59" s="3"/>
    </row>
    <row r="60" spans="1:30" x14ac:dyDescent="0.25">
      <c r="A60" s="3"/>
      <c r="B60" s="363"/>
      <c r="M60"/>
      <c r="AB60" s="357"/>
      <c r="AC60" s="3"/>
      <c r="AD60" s="3"/>
    </row>
    <row r="61" spans="1:30" x14ac:dyDescent="0.25">
      <c r="A61" s="3"/>
      <c r="B61" s="870"/>
      <c r="C61" s="868"/>
      <c r="D61" s="868"/>
      <c r="E61" s="868"/>
      <c r="F61" s="868"/>
      <c r="G61" s="868"/>
      <c r="H61" s="868"/>
      <c r="I61" s="868"/>
      <c r="J61" s="868"/>
      <c r="K61" s="868"/>
      <c r="L61" s="868"/>
      <c r="M61" s="868"/>
      <c r="N61" s="868"/>
      <c r="O61" s="868"/>
      <c r="P61" s="868"/>
      <c r="Q61" s="868"/>
      <c r="R61" s="868"/>
      <c r="S61" s="868"/>
      <c r="T61" s="868"/>
      <c r="U61" s="868"/>
      <c r="AB61" s="357"/>
      <c r="AC61" s="3"/>
      <c r="AD61" s="3"/>
    </row>
    <row r="62" spans="1:30" x14ac:dyDescent="0.25">
      <c r="A62" s="3"/>
      <c r="B62" s="870" t="s">
        <v>273</v>
      </c>
      <c r="C62" s="868"/>
      <c r="D62" s="868"/>
      <c r="E62" s="868"/>
      <c r="F62" s="868"/>
      <c r="G62" s="868"/>
      <c r="H62" s="868"/>
      <c r="I62" s="868"/>
      <c r="J62" s="868"/>
      <c r="K62" s="868"/>
      <c r="L62" s="868"/>
      <c r="M62" s="868"/>
      <c r="N62" s="868"/>
      <c r="O62" s="868"/>
      <c r="P62" s="868"/>
      <c r="Q62" s="868"/>
      <c r="R62" s="868"/>
      <c r="S62" s="868"/>
      <c r="T62" s="868"/>
      <c r="U62" s="868"/>
      <c r="AB62" s="357"/>
      <c r="AC62" s="3"/>
      <c r="AD62" s="3"/>
    </row>
    <row r="63" spans="1:30" x14ac:dyDescent="0.25">
      <c r="A63" s="3"/>
      <c r="B63" s="870" t="s">
        <v>272</v>
      </c>
      <c r="C63" s="868"/>
      <c r="D63" s="868"/>
      <c r="E63" s="868"/>
      <c r="F63" s="868"/>
      <c r="G63" s="868"/>
      <c r="H63" s="868"/>
      <c r="I63" s="868"/>
      <c r="J63" s="868"/>
      <c r="K63" s="868"/>
      <c r="L63" s="868"/>
      <c r="M63" s="868"/>
      <c r="N63" s="868"/>
      <c r="O63" s="868"/>
      <c r="P63" s="868"/>
      <c r="Q63" s="868"/>
      <c r="R63" s="868"/>
      <c r="S63" s="868"/>
      <c r="T63" s="868"/>
      <c r="U63" s="868"/>
      <c r="AB63" s="357"/>
      <c r="AC63" s="3"/>
      <c r="AD63" s="3"/>
    </row>
    <row r="64" spans="1:30" x14ac:dyDescent="0.25">
      <c r="A64" s="3"/>
      <c r="B64" s="362" t="s">
        <v>271</v>
      </c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AB64" s="357"/>
      <c r="AC64" s="3"/>
      <c r="AD64" s="3"/>
    </row>
    <row r="65" spans="1:30" x14ac:dyDescent="0.25">
      <c r="A65" s="3"/>
      <c r="B65" s="362" t="s">
        <v>270</v>
      </c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AB65" s="357"/>
      <c r="AC65" s="3"/>
      <c r="AD65" s="3"/>
    </row>
    <row r="66" spans="1:30" x14ac:dyDescent="0.25">
      <c r="A66" s="3"/>
      <c r="B66" s="362" t="s">
        <v>269</v>
      </c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AB66" s="357"/>
      <c r="AC66" s="3"/>
      <c r="AD66" s="3"/>
    </row>
    <row r="67" spans="1:30" x14ac:dyDescent="0.25">
      <c r="A67" s="3"/>
      <c r="B67" s="362" t="s">
        <v>268</v>
      </c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AB67" s="357"/>
      <c r="AC67" s="3"/>
      <c r="AD67" s="3"/>
    </row>
    <row r="68" spans="1:30" x14ac:dyDescent="0.25">
      <c r="A68" s="3"/>
      <c r="B68" s="362" t="s">
        <v>267</v>
      </c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AB68" s="357"/>
      <c r="AC68" s="3"/>
      <c r="AD68" s="3"/>
    </row>
    <row r="69" spans="1:30" x14ac:dyDescent="0.25">
      <c r="A69" s="3"/>
      <c r="B69" s="362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AB69" s="357"/>
      <c r="AC69" s="3"/>
      <c r="AD69" s="3"/>
    </row>
    <row r="70" spans="1:30" x14ac:dyDescent="0.25">
      <c r="A70" s="3"/>
      <c r="B70" s="362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AB70" s="357"/>
      <c r="AC70" s="3"/>
      <c r="AD70" s="3"/>
    </row>
    <row r="71" spans="1:30" x14ac:dyDescent="0.25">
      <c r="A71" s="3"/>
      <c r="B71" s="362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AB71" s="357"/>
      <c r="AC71" s="3"/>
      <c r="AD71" s="3"/>
    </row>
    <row r="72" spans="1:30" x14ac:dyDescent="0.25">
      <c r="A72" s="3"/>
      <c r="B72" s="362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AB72" s="357"/>
      <c r="AC72" s="3"/>
      <c r="AD72" s="3"/>
    </row>
    <row r="73" spans="1:30" x14ac:dyDescent="0.25">
      <c r="A73" s="3"/>
      <c r="B73" s="361"/>
      <c r="C73" s="360"/>
      <c r="D73" s="359"/>
      <c r="E73" s="359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AB73" s="357"/>
      <c r="AC73" s="3"/>
      <c r="AD73" s="3"/>
    </row>
    <row r="74" spans="1:30" x14ac:dyDescent="0.25">
      <c r="A74" s="3"/>
      <c r="B74" s="356"/>
      <c r="C74" s="355"/>
      <c r="D74" s="354"/>
      <c r="E74" s="354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2"/>
      <c r="W74" s="352"/>
      <c r="X74" s="352"/>
      <c r="Y74" s="352"/>
      <c r="Z74" s="352"/>
      <c r="AA74" s="352"/>
      <c r="AB74" s="351"/>
      <c r="AC74" s="3"/>
      <c r="AD74" s="3"/>
    </row>
    <row r="75" spans="1:30" x14ac:dyDescent="0.25">
      <c r="A75" s="3"/>
      <c r="B75" s="349"/>
      <c r="C75" s="350"/>
      <c r="D75" s="349"/>
      <c r="E75" s="349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8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25">
      <c r="A76" s="3"/>
      <c r="B76" s="349"/>
      <c r="C76" s="350"/>
      <c r="D76" s="349"/>
      <c r="E76" s="349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8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25">
      <c r="A77" s="3"/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25">
      <c r="A78" s="3"/>
      <c r="B78" s="344" t="s">
        <v>109</v>
      </c>
      <c r="C78" s="347">
        <v>44784</v>
      </c>
      <c r="D78" s="344" t="s">
        <v>110</v>
      </c>
      <c r="E78" s="868" t="s">
        <v>177</v>
      </c>
      <c r="F78" s="868"/>
      <c r="G78" s="868"/>
      <c r="H78" s="344"/>
      <c r="I78" s="344" t="s">
        <v>112</v>
      </c>
      <c r="J78" s="869" t="s">
        <v>266</v>
      </c>
      <c r="K78" s="869"/>
      <c r="L78" s="869"/>
      <c r="M78" s="869"/>
      <c r="N78" s="344"/>
      <c r="O78" s="344"/>
      <c r="P78" s="344"/>
      <c r="Q78" s="344"/>
      <c r="R78" s="344"/>
      <c r="S78" s="344"/>
      <c r="T78" s="344"/>
      <c r="U78" s="344"/>
      <c r="V78" s="3"/>
      <c r="W78" s="3"/>
      <c r="X78" s="3"/>
      <c r="Y78" s="3"/>
      <c r="Z78" s="3"/>
      <c r="AA78" s="3"/>
      <c r="AB78" s="3"/>
      <c r="AC78" s="3"/>
      <c r="AD78" s="3"/>
    </row>
    <row r="79" spans="1:30" ht="7.5" customHeight="1" x14ac:dyDescent="0.25">
      <c r="A79" s="3"/>
      <c r="B79" s="344"/>
      <c r="C79" s="344"/>
      <c r="D79" s="344"/>
      <c r="E79" s="344"/>
      <c r="F79" s="344"/>
      <c r="G79" s="344"/>
      <c r="H79" s="344"/>
      <c r="I79" s="344"/>
      <c r="J79" s="344"/>
      <c r="K79" s="344"/>
      <c r="L79" s="344"/>
      <c r="M79" s="344"/>
      <c r="N79" s="344"/>
      <c r="O79" s="344"/>
      <c r="P79" s="344"/>
      <c r="Q79" s="344"/>
      <c r="R79" s="344"/>
      <c r="S79" s="344"/>
      <c r="T79" s="344"/>
      <c r="U79" s="344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25">
      <c r="A80" s="3"/>
      <c r="B80" s="344"/>
      <c r="C80" s="344"/>
      <c r="D80" s="344" t="s">
        <v>114</v>
      </c>
      <c r="E80" s="346"/>
      <c r="F80" s="346"/>
      <c r="G80" s="346"/>
      <c r="H80" s="344"/>
      <c r="I80" s="344" t="s">
        <v>114</v>
      </c>
      <c r="J80" s="345"/>
      <c r="K80" s="345"/>
      <c r="L80" s="345"/>
      <c r="M80" s="345"/>
      <c r="N80" s="344"/>
      <c r="O80" s="344"/>
      <c r="P80" s="344"/>
      <c r="Q80" s="344"/>
      <c r="R80" s="344"/>
      <c r="S80" s="344"/>
      <c r="T80" s="344"/>
      <c r="U80" s="344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25">
      <c r="A81" s="3"/>
      <c r="B81" s="344"/>
      <c r="C81" s="344"/>
      <c r="D81" s="344"/>
      <c r="E81" s="346"/>
      <c r="F81" s="346"/>
      <c r="G81" s="346"/>
      <c r="H81" s="344"/>
      <c r="I81" s="344"/>
      <c r="J81" s="345"/>
      <c r="K81" s="345"/>
      <c r="L81" s="345"/>
      <c r="M81" s="345"/>
      <c r="N81" s="344"/>
      <c r="O81" s="344"/>
      <c r="P81" s="344"/>
      <c r="Q81" s="344"/>
      <c r="R81" s="344"/>
      <c r="S81" s="344"/>
      <c r="T81" s="344"/>
      <c r="U81" s="344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25">
      <c r="A82" s="3"/>
      <c r="B82" s="344"/>
      <c r="C82" s="344"/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4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25">
      <c r="A83" s="3"/>
      <c r="B83" s="344"/>
      <c r="C83" s="344"/>
      <c r="D83" s="344"/>
      <c r="E83" s="344"/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"/>
      <c r="W83" s="3"/>
      <c r="X83" s="3"/>
      <c r="Y83" s="3"/>
      <c r="Z83" s="3"/>
      <c r="AA83" s="3"/>
      <c r="AB83" s="3"/>
      <c r="AC83" s="3"/>
      <c r="AD83" s="3"/>
    </row>
    <row r="86" spans="1:30" x14ac:dyDescent="0.25"/>
    <row r="87" spans="1:30" x14ac:dyDescent="0.25"/>
    <row r="88" spans="1:30" x14ac:dyDescent="0.25"/>
    <row r="89" spans="1:30" x14ac:dyDescent="0.25"/>
    <row r="90" spans="1:30" x14ac:dyDescent="0.25"/>
    <row r="91" spans="1:30" x14ac:dyDescent="0.25"/>
    <row r="92" spans="1:30" x14ac:dyDescent="0.25"/>
    <row r="93" spans="1:30" x14ac:dyDescent="0.25"/>
    <row r="94" spans="1:30" x14ac:dyDescent="0.25"/>
    <row r="95" spans="1:30" x14ac:dyDescent="0.25"/>
    <row r="96" spans="1:30" x14ac:dyDescent="0.25"/>
    <row r="100" ht="15" hidden="1" customHeight="1" x14ac:dyDescent="0.25"/>
    <row r="114" ht="15" hidden="1" customHeight="1" x14ac:dyDescent="0.25"/>
    <row r="115" ht="15" hidden="1" customHeight="1" x14ac:dyDescent="0.25"/>
    <row r="116" x14ac:dyDescent="0.25"/>
  </sheetData>
  <mergeCells count="64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T13:T14"/>
    <mergeCell ref="U13:U14"/>
    <mergeCell ref="P25:U25"/>
    <mergeCell ref="S13:S14"/>
    <mergeCell ref="P10:U10"/>
    <mergeCell ref="P11:S11"/>
    <mergeCell ref="E78:G78"/>
    <mergeCell ref="J78:M78"/>
    <mergeCell ref="B63:U63"/>
    <mergeCell ref="H26:H27"/>
    <mergeCell ref="I26:I27"/>
    <mergeCell ref="N26:N27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P26:R26"/>
    <mergeCell ref="S26:S27"/>
    <mergeCell ref="T26:T27"/>
    <mergeCell ref="U26:U27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7" priority="3" operator="equal">
      <formula>0</formula>
    </cfRule>
    <cfRule type="containsErrors" dxfId="6" priority="4">
      <formula>ISERROR(AB15)</formula>
    </cfRule>
  </conditionalFormatting>
  <conditionalFormatting sqref="AB28:AB41">
    <cfRule type="cellIs" dxfId="5" priority="1" operator="equal">
      <formula>0</formula>
    </cfRule>
    <cfRule type="containsErrors" dxfId="4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zoomScale="75" zoomScaleNormal="75" zoomScaleSheetLayoutView="100" workbookViewId="0">
      <selection activeCell="G259" sqref="G259:G26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59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276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71294147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27" t="s">
        <v>277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9</v>
      </c>
      <c r="K10" s="883"/>
      <c r="L10" s="883"/>
      <c r="M10" s="883"/>
      <c r="N10" s="883"/>
      <c r="O10" s="884"/>
      <c r="P10" s="882" t="s">
        <v>10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890"/>
      <c r="H14" s="892"/>
      <c r="I14" s="912"/>
      <c r="J14" s="11" t="s">
        <v>20</v>
      </c>
      <c r="K14" s="12" t="s">
        <v>21</v>
      </c>
      <c r="L14" s="12" t="s">
        <v>22</v>
      </c>
      <c r="M14" s="890"/>
      <c r="N14" s="892"/>
      <c r="O14" s="912"/>
      <c r="P14" s="11" t="s">
        <v>20</v>
      </c>
      <c r="Q14" s="12" t="s">
        <v>21</v>
      </c>
      <c r="R14" s="12" t="s">
        <v>22</v>
      </c>
      <c r="S14" s="890"/>
      <c r="T14" s="892"/>
      <c r="U14" s="912"/>
      <c r="V14" s="11" t="s">
        <v>20</v>
      </c>
      <c r="W14" s="12" t="s">
        <v>21</v>
      </c>
      <c r="X14" s="12" t="s">
        <v>22</v>
      </c>
      <c r="Y14" s="890"/>
      <c r="Z14" s="892"/>
      <c r="AA14" s="912"/>
      <c r="AB14" s="902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1285.5999999999999</v>
      </c>
      <c r="G15" s="18">
        <f>SUM(D15:F15)</f>
        <v>1285.5999999999999</v>
      </c>
      <c r="H15" s="19">
        <v>109.6</v>
      </c>
      <c r="I15" s="20">
        <f>G15+H15</f>
        <v>1395.1999999999998</v>
      </c>
      <c r="J15" s="15"/>
      <c r="K15" s="16"/>
      <c r="L15" s="17">
        <v>2400</v>
      </c>
      <c r="M15" s="18">
        <f t="shared" ref="M15:M23" si="0">SUM(J15:L15)</f>
        <v>2400</v>
      </c>
      <c r="N15" s="19">
        <v>350</v>
      </c>
      <c r="O15" s="20">
        <f>M15+N15</f>
        <v>2750</v>
      </c>
      <c r="P15" s="15"/>
      <c r="Q15" s="16"/>
      <c r="R15" s="17">
        <v>1568.2</v>
      </c>
      <c r="S15" s="18">
        <f>SUM(P15:R15)</f>
        <v>1568.2</v>
      </c>
      <c r="T15" s="19">
        <v>117.7</v>
      </c>
      <c r="U15" s="20">
        <f>S15+T15</f>
        <v>1685.9</v>
      </c>
      <c r="V15" s="15"/>
      <c r="W15" s="16"/>
      <c r="X15" s="17">
        <v>2400</v>
      </c>
      <c r="Y15" s="18">
        <f>SUM(V15:X15)</f>
        <v>2400</v>
      </c>
      <c r="Z15" s="19">
        <v>335</v>
      </c>
      <c r="AA15" s="20">
        <f>Y15+Z15</f>
        <v>2735</v>
      </c>
      <c r="AB15" s="21">
        <f>(AA15/O15)</f>
        <v>0.99454545454545451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1804.2</v>
      </c>
      <c r="E16" s="25"/>
      <c r="F16" s="25"/>
      <c r="G16" s="26">
        <f t="shared" ref="G16:G23" si="1">SUM(D16:F16)</f>
        <v>1804.2</v>
      </c>
      <c r="H16" s="27"/>
      <c r="I16" s="20">
        <f t="shared" ref="I16:I23" si="2">G16+H16</f>
        <v>1804.2</v>
      </c>
      <c r="J16" s="24">
        <v>1310</v>
      </c>
      <c r="K16" s="25"/>
      <c r="L16" s="25"/>
      <c r="M16" s="26">
        <f t="shared" si="0"/>
        <v>1310</v>
      </c>
      <c r="N16" s="27"/>
      <c r="O16" s="20">
        <f t="shared" ref="O16:O20" si="3">M16+N16</f>
        <v>1310</v>
      </c>
      <c r="P16" s="24">
        <v>655</v>
      </c>
      <c r="Q16" s="25"/>
      <c r="R16" s="25"/>
      <c r="S16" s="26">
        <f t="shared" ref="S16:S23" si="4">SUM(P16:R16)</f>
        <v>655</v>
      </c>
      <c r="T16" s="27"/>
      <c r="U16" s="20">
        <f t="shared" ref="U16:U20" si="5">S16+T16</f>
        <v>655</v>
      </c>
      <c r="V16" s="24">
        <v>1714.9</v>
      </c>
      <c r="W16" s="25"/>
      <c r="X16" s="25"/>
      <c r="Y16" s="26">
        <f t="shared" ref="Y16:Y23" si="6">SUM(V16:X16)</f>
        <v>1714.9</v>
      </c>
      <c r="Z16" s="27">
        <v>0</v>
      </c>
      <c r="AA16" s="20">
        <f t="shared" ref="AA16:AA20" si="7">Y16+Z16</f>
        <v>1714.9</v>
      </c>
      <c r="AB16" s="21">
        <f t="shared" ref="AB16:AB24" si="8">(AA16/O16)</f>
        <v>1.3090839694656489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228.4</v>
      </c>
      <c r="E17" s="30"/>
      <c r="F17" s="30"/>
      <c r="G17" s="26">
        <f t="shared" si="1"/>
        <v>228.4</v>
      </c>
      <c r="H17" s="31"/>
      <c r="I17" s="20">
        <f t="shared" si="2"/>
        <v>228.4</v>
      </c>
      <c r="J17" s="29">
        <v>510.7</v>
      </c>
      <c r="K17" s="30"/>
      <c r="L17" s="30"/>
      <c r="M17" s="26">
        <f t="shared" si="0"/>
        <v>510.7</v>
      </c>
      <c r="N17" s="31"/>
      <c r="O17" s="20">
        <f t="shared" si="3"/>
        <v>510.7</v>
      </c>
      <c r="P17" s="29">
        <v>186</v>
      </c>
      <c r="Q17" s="30"/>
      <c r="R17" s="30"/>
      <c r="S17" s="26">
        <f t="shared" si="4"/>
        <v>186</v>
      </c>
      <c r="T17" s="31"/>
      <c r="U17" s="20">
        <f t="shared" si="5"/>
        <v>186</v>
      </c>
      <c r="V17" s="29">
        <v>183.2</v>
      </c>
      <c r="W17" s="30"/>
      <c r="X17" s="30"/>
      <c r="Y17" s="26">
        <f t="shared" si="6"/>
        <v>183.2</v>
      </c>
      <c r="Z17" s="31">
        <v>0</v>
      </c>
      <c r="AA17" s="20">
        <f t="shared" si="7"/>
        <v>183.2</v>
      </c>
      <c r="AB17" s="21">
        <f t="shared" si="8"/>
        <v>0.358723320932054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9240.7000000000007</v>
      </c>
      <c r="F18" s="30"/>
      <c r="G18" s="26">
        <f t="shared" si="1"/>
        <v>9240.7000000000007</v>
      </c>
      <c r="H18" s="19"/>
      <c r="I18" s="20">
        <f t="shared" si="2"/>
        <v>9240.7000000000007</v>
      </c>
      <c r="J18" s="33"/>
      <c r="K18" s="34">
        <v>9000.9</v>
      </c>
      <c r="L18" s="30"/>
      <c r="M18" s="26">
        <f t="shared" si="0"/>
        <v>9000.9</v>
      </c>
      <c r="N18" s="19"/>
      <c r="O18" s="20">
        <f t="shared" si="3"/>
        <v>9000.9</v>
      </c>
      <c r="P18" s="33"/>
      <c r="Q18" s="34">
        <v>5534.5</v>
      </c>
      <c r="R18" s="30"/>
      <c r="S18" s="26">
        <f t="shared" si="4"/>
        <v>5534.5</v>
      </c>
      <c r="T18" s="19"/>
      <c r="U18" s="20">
        <f t="shared" si="5"/>
        <v>5534.5</v>
      </c>
      <c r="V18" s="33"/>
      <c r="W18" s="34">
        <f>10029.619+320</f>
        <v>10349.619000000001</v>
      </c>
      <c r="X18" s="30"/>
      <c r="Y18" s="26">
        <f t="shared" si="6"/>
        <v>10349.619000000001</v>
      </c>
      <c r="Z18" s="19">
        <v>0</v>
      </c>
      <c r="AA18" s="20">
        <f t="shared" si="7"/>
        <v>10349.619000000001</v>
      </c>
      <c r="AB18" s="21">
        <f t="shared" si="8"/>
        <v>1.1498426823984269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>
        <v>347</v>
      </c>
      <c r="G19" s="26">
        <f t="shared" si="1"/>
        <v>347</v>
      </c>
      <c r="H19" s="38"/>
      <c r="I19" s="20">
        <f t="shared" si="2"/>
        <v>347</v>
      </c>
      <c r="J19" s="36"/>
      <c r="K19" s="30"/>
      <c r="L19" s="37">
        <v>347</v>
      </c>
      <c r="M19" s="26">
        <f t="shared" si="0"/>
        <v>347</v>
      </c>
      <c r="N19" s="38"/>
      <c r="O19" s="20">
        <f t="shared" si="3"/>
        <v>347</v>
      </c>
      <c r="P19" s="36"/>
      <c r="Q19" s="30"/>
      <c r="R19" s="37">
        <v>173.5</v>
      </c>
      <c r="S19" s="26">
        <f t="shared" si="4"/>
        <v>173.5</v>
      </c>
      <c r="T19" s="38"/>
      <c r="U19" s="20">
        <f t="shared" si="5"/>
        <v>173.5</v>
      </c>
      <c r="V19" s="36"/>
      <c r="W19" s="30"/>
      <c r="X19" s="37">
        <v>347</v>
      </c>
      <c r="Y19" s="26">
        <f t="shared" si="6"/>
        <v>347</v>
      </c>
      <c r="Z19" s="38">
        <v>0</v>
      </c>
      <c r="AA19" s="20">
        <f t="shared" si="7"/>
        <v>347</v>
      </c>
      <c r="AB19" s="21">
        <f t="shared" si="8"/>
        <v>1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110</v>
      </c>
      <c r="G20" s="26">
        <f t="shared" si="1"/>
        <v>110</v>
      </c>
      <c r="H20" s="38"/>
      <c r="I20" s="20">
        <f t="shared" si="2"/>
        <v>110</v>
      </c>
      <c r="J20" s="33"/>
      <c r="K20" s="25"/>
      <c r="L20" s="40">
        <v>30</v>
      </c>
      <c r="M20" s="26">
        <f t="shared" si="0"/>
        <v>30</v>
      </c>
      <c r="N20" s="38"/>
      <c r="O20" s="20">
        <f t="shared" si="3"/>
        <v>30</v>
      </c>
      <c r="P20" s="33"/>
      <c r="Q20" s="25"/>
      <c r="R20" s="40"/>
      <c r="S20" s="26">
        <f t="shared" si="4"/>
        <v>0</v>
      </c>
      <c r="T20" s="38"/>
      <c r="U20" s="20">
        <f t="shared" si="5"/>
        <v>0</v>
      </c>
      <c r="V20" s="33"/>
      <c r="W20" s="25"/>
      <c r="X20" s="40">
        <v>30</v>
      </c>
      <c r="Y20" s="26">
        <f t="shared" si="6"/>
        <v>30</v>
      </c>
      <c r="Z20" s="38">
        <v>0</v>
      </c>
      <c r="AA20" s="20">
        <f t="shared" si="7"/>
        <v>30</v>
      </c>
      <c r="AB20" s="21">
        <f t="shared" si="8"/>
        <v>1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14.4</v>
      </c>
      <c r="G21" s="26">
        <f t="shared" si="1"/>
        <v>14.4</v>
      </c>
      <c r="H21" s="42">
        <v>7.5</v>
      </c>
      <c r="I21" s="20">
        <f>G21+H21</f>
        <v>21.9</v>
      </c>
      <c r="J21" s="33"/>
      <c r="K21" s="25"/>
      <c r="L21" s="40">
        <v>80</v>
      </c>
      <c r="M21" s="26">
        <f t="shared" si="0"/>
        <v>80</v>
      </c>
      <c r="N21" s="42"/>
      <c r="O21" s="20">
        <f>M21+N21</f>
        <v>80</v>
      </c>
      <c r="P21" s="33"/>
      <c r="Q21" s="25"/>
      <c r="R21" s="40">
        <v>30.9</v>
      </c>
      <c r="S21" s="26">
        <f t="shared" si="4"/>
        <v>30.9</v>
      </c>
      <c r="T21" s="42">
        <v>11</v>
      </c>
      <c r="U21" s="20">
        <f>S21+T21</f>
        <v>41.9</v>
      </c>
      <c r="V21" s="33"/>
      <c r="W21" s="25"/>
      <c r="X21" s="40">
        <v>80</v>
      </c>
      <c r="Y21" s="26">
        <f t="shared" si="6"/>
        <v>80</v>
      </c>
      <c r="Z21" s="42">
        <v>15</v>
      </c>
      <c r="AA21" s="20">
        <f>Y21+Z21</f>
        <v>95</v>
      </c>
      <c r="AB21" s="21">
        <f t="shared" si="8"/>
        <v>1.1875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/>
      <c r="I22" s="20">
        <f t="shared" si="2"/>
        <v>0</v>
      </c>
      <c r="J22" s="33"/>
      <c r="K22" s="25"/>
      <c r="L22" s="40"/>
      <c r="M22" s="26">
        <f t="shared" si="0"/>
        <v>0</v>
      </c>
      <c r="N22" s="42"/>
      <c r="O22" s="20">
        <f t="shared" ref="O22:O23" si="9">M22+N22</f>
        <v>0</v>
      </c>
      <c r="P22" s="33"/>
      <c r="Q22" s="25"/>
      <c r="R22" s="40"/>
      <c r="S22" s="26">
        <f t="shared" si="4"/>
        <v>0</v>
      </c>
      <c r="T22" s="42"/>
      <c r="U22" s="20">
        <f t="shared" ref="U22:U23" si="10">S22+T22</f>
        <v>0</v>
      </c>
      <c r="V22" s="33"/>
      <c r="W22" s="25"/>
      <c r="X22" s="40">
        <v>0</v>
      </c>
      <c r="Y22" s="26">
        <f t="shared" si="6"/>
        <v>0</v>
      </c>
      <c r="Z22" s="42">
        <v>0</v>
      </c>
      <c r="AA22" s="20">
        <f t="shared" ref="AA22:AA23" si="11">Y22+Z22</f>
        <v>0</v>
      </c>
      <c r="AB22" s="21" t="e">
        <f t="shared" si="8"/>
        <v>#DIV/0!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4"/>
        <v>0</v>
      </c>
      <c r="T23" s="49"/>
      <c r="U23" s="50">
        <f t="shared" si="10"/>
        <v>0</v>
      </c>
      <c r="V23" s="45"/>
      <c r="W23" s="46"/>
      <c r="X23" s="47">
        <v>0</v>
      </c>
      <c r="Y23" s="48">
        <f t="shared" si="6"/>
        <v>0</v>
      </c>
      <c r="Z23" s="49">
        <v>0</v>
      </c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2032.6000000000001</v>
      </c>
      <c r="E24" s="55">
        <f>SUM(E15:E21)</f>
        <v>9240.7000000000007</v>
      </c>
      <c r="F24" s="55">
        <f>SUM(F15:F21)</f>
        <v>1757</v>
      </c>
      <c r="G24" s="56">
        <f>SUM(D24:F24)</f>
        <v>13030.300000000001</v>
      </c>
      <c r="H24" s="57">
        <f>SUM(H15:H21)</f>
        <v>117.1</v>
      </c>
      <c r="I24" s="57">
        <f>SUM(I15:I21)</f>
        <v>13147.4</v>
      </c>
      <c r="J24" s="54">
        <f>SUM(J15:J21)</f>
        <v>1820.7</v>
      </c>
      <c r="K24" s="55">
        <f>SUM(K15:K21)</f>
        <v>9000.9</v>
      </c>
      <c r="L24" s="55">
        <f>SUM(L15:L21)</f>
        <v>2857</v>
      </c>
      <c r="M24" s="56">
        <f>SUM(J24:L24)</f>
        <v>13678.6</v>
      </c>
      <c r="N24" s="57">
        <f>SUM(N15:N21)</f>
        <v>350</v>
      </c>
      <c r="O24" s="57">
        <f>SUM(O15:O21)</f>
        <v>14028.599999999999</v>
      </c>
      <c r="P24" s="54">
        <f>SUM(P15:P21)</f>
        <v>841</v>
      </c>
      <c r="Q24" s="55">
        <f>SUM(Q15:Q21)</f>
        <v>5534.5</v>
      </c>
      <c r="R24" s="55">
        <f>SUM(R15:R21)</f>
        <v>1772.6000000000001</v>
      </c>
      <c r="S24" s="56">
        <f>SUM(P24:R24)</f>
        <v>8148.1</v>
      </c>
      <c r="T24" s="57">
        <f>SUM(T15:T21)</f>
        <v>128.69999999999999</v>
      </c>
      <c r="U24" s="57">
        <f>SUM(U15:U21)</f>
        <v>8276.7999999999993</v>
      </c>
      <c r="V24" s="54">
        <f>SUM(V15:V21)</f>
        <v>1898.1000000000001</v>
      </c>
      <c r="W24" s="55">
        <f>SUM(W15:W21)</f>
        <v>10349.619000000001</v>
      </c>
      <c r="X24" s="55">
        <f>SUM(X15:X21)</f>
        <v>2857</v>
      </c>
      <c r="Y24" s="56">
        <f>SUM(V24:X24)</f>
        <v>15104.719000000001</v>
      </c>
      <c r="Z24" s="57">
        <f>SUM(Z15:Z23)</f>
        <v>350</v>
      </c>
      <c r="AA24" s="57">
        <f>SUM(AA15:AA21)</f>
        <v>15454.719000000001</v>
      </c>
      <c r="AB24" s="58">
        <f t="shared" si="8"/>
        <v>1.1016579701467004</v>
      </c>
      <c r="AC24" s="3"/>
      <c r="AD24" s="3"/>
    </row>
    <row r="25" spans="1:30" ht="15.75" customHeight="1" thickBot="1" x14ac:dyDescent="0.3">
      <c r="A25" s="1"/>
      <c r="B25" s="59"/>
      <c r="C25" s="60"/>
      <c r="D25" s="885" t="s">
        <v>43</v>
      </c>
      <c r="E25" s="886"/>
      <c r="F25" s="886"/>
      <c r="G25" s="887"/>
      <c r="H25" s="887"/>
      <c r="I25" s="888"/>
      <c r="J25" s="885" t="s">
        <v>43</v>
      </c>
      <c r="K25" s="886"/>
      <c r="L25" s="886"/>
      <c r="M25" s="887"/>
      <c r="N25" s="887"/>
      <c r="O25" s="888"/>
      <c r="P25" s="885" t="s">
        <v>43</v>
      </c>
      <c r="Q25" s="886"/>
      <c r="R25" s="886"/>
      <c r="S25" s="887"/>
      <c r="T25" s="887"/>
      <c r="U25" s="888"/>
      <c r="V25" s="885" t="s">
        <v>43</v>
      </c>
      <c r="W25" s="886"/>
      <c r="X25" s="886"/>
      <c r="Y25" s="887"/>
      <c r="Z25" s="887"/>
      <c r="AA25" s="888"/>
      <c r="AB25" s="893" t="s">
        <v>12</v>
      </c>
      <c r="AC25" s="3"/>
      <c r="AD25" s="3"/>
    </row>
    <row r="26" spans="1:30" ht="15.75" thickBot="1" x14ac:dyDescent="0.3">
      <c r="A26" s="1"/>
      <c r="B26" s="932" t="s">
        <v>6</v>
      </c>
      <c r="C26" s="917" t="s">
        <v>7</v>
      </c>
      <c r="D26" s="896" t="s">
        <v>44</v>
      </c>
      <c r="E26" s="897"/>
      <c r="F26" s="897"/>
      <c r="G26" s="913" t="s">
        <v>45</v>
      </c>
      <c r="H26" s="915" t="s">
        <v>46</v>
      </c>
      <c r="I26" s="898" t="s">
        <v>43</v>
      </c>
      <c r="J26" s="896" t="s">
        <v>44</v>
      </c>
      <c r="K26" s="897"/>
      <c r="L26" s="897"/>
      <c r="M26" s="913" t="s">
        <v>45</v>
      </c>
      <c r="N26" s="915" t="s">
        <v>46</v>
      </c>
      <c r="O26" s="898" t="s">
        <v>43</v>
      </c>
      <c r="P26" s="896" t="s">
        <v>44</v>
      </c>
      <c r="Q26" s="897"/>
      <c r="R26" s="897"/>
      <c r="S26" s="913" t="s">
        <v>45</v>
      </c>
      <c r="T26" s="915" t="s">
        <v>46</v>
      </c>
      <c r="U26" s="898" t="s">
        <v>43</v>
      </c>
      <c r="V26" s="896" t="s">
        <v>44</v>
      </c>
      <c r="W26" s="897"/>
      <c r="X26" s="897"/>
      <c r="Y26" s="913" t="s">
        <v>45</v>
      </c>
      <c r="Z26" s="915" t="s">
        <v>46</v>
      </c>
      <c r="AA26" s="898" t="s">
        <v>43</v>
      </c>
      <c r="AB26" s="894"/>
      <c r="AC26" s="3"/>
      <c r="AD26" s="3"/>
    </row>
    <row r="27" spans="1:30" ht="15.75" thickBot="1" x14ac:dyDescent="0.3">
      <c r="A27" s="1"/>
      <c r="B27" s="933"/>
      <c r="C27" s="918"/>
      <c r="D27" s="61" t="s">
        <v>47</v>
      </c>
      <c r="E27" s="62" t="s">
        <v>48</v>
      </c>
      <c r="F27" s="63" t="s">
        <v>49</v>
      </c>
      <c r="G27" s="914"/>
      <c r="H27" s="916"/>
      <c r="I27" s="899"/>
      <c r="J27" s="61" t="s">
        <v>47</v>
      </c>
      <c r="K27" s="62" t="s">
        <v>48</v>
      </c>
      <c r="L27" s="63" t="s">
        <v>49</v>
      </c>
      <c r="M27" s="914"/>
      <c r="N27" s="916"/>
      <c r="O27" s="899"/>
      <c r="P27" s="61" t="s">
        <v>47</v>
      </c>
      <c r="Q27" s="62" t="s">
        <v>48</v>
      </c>
      <c r="R27" s="63" t="s">
        <v>49</v>
      </c>
      <c r="S27" s="914"/>
      <c r="T27" s="916"/>
      <c r="U27" s="899"/>
      <c r="V27" s="61" t="s">
        <v>47</v>
      </c>
      <c r="W27" s="62" t="s">
        <v>48</v>
      </c>
      <c r="X27" s="63" t="s">
        <v>49</v>
      </c>
      <c r="Y27" s="914"/>
      <c r="Z27" s="916"/>
      <c r="AA27" s="899"/>
      <c r="AB27" s="895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484.7</v>
      </c>
      <c r="E28" s="65"/>
      <c r="F28" s="65">
        <v>341</v>
      </c>
      <c r="G28" s="66">
        <f>SUM(D28:F28)</f>
        <v>825.7</v>
      </c>
      <c r="H28" s="66">
        <v>97.2</v>
      </c>
      <c r="I28" s="67">
        <f>G28+H28</f>
        <v>922.90000000000009</v>
      </c>
      <c r="J28" s="68"/>
      <c r="K28" s="65"/>
      <c r="L28" s="65">
        <v>250</v>
      </c>
      <c r="M28" s="66">
        <f>SUM(J28:L28)</f>
        <v>250</v>
      </c>
      <c r="N28" s="66">
        <v>300</v>
      </c>
      <c r="O28" s="67">
        <f>M28+N28</f>
        <v>550</v>
      </c>
      <c r="P28" s="68"/>
      <c r="Q28" s="65"/>
      <c r="R28" s="65">
        <v>164</v>
      </c>
      <c r="S28" s="66">
        <f>SUM(P28:R28)</f>
        <v>164</v>
      </c>
      <c r="T28" s="66"/>
      <c r="U28" s="67">
        <f>S28+T28</f>
        <v>164</v>
      </c>
      <c r="V28" s="68"/>
      <c r="W28" s="65"/>
      <c r="X28" s="65">
        <v>500</v>
      </c>
      <c r="Y28" s="66">
        <f>SUM(V28:X28)</f>
        <v>500</v>
      </c>
      <c r="Z28" s="66">
        <v>300</v>
      </c>
      <c r="AA28" s="67">
        <f>Y28+Z28</f>
        <v>800</v>
      </c>
      <c r="AB28" s="21">
        <f t="shared" ref="AB28:AB41" si="12">(AA28/O28)</f>
        <v>1.4545454545454546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24.4</v>
      </c>
      <c r="E29" s="70">
        <v>81.400000000000006</v>
      </c>
      <c r="F29" s="70">
        <v>288.8</v>
      </c>
      <c r="G29" s="71">
        <f t="shared" ref="G29:G38" si="13">SUM(D29:F29)</f>
        <v>394.6</v>
      </c>
      <c r="H29" s="72"/>
      <c r="I29" s="20">
        <f t="shared" ref="I29:I38" si="14">G29+H29</f>
        <v>394.6</v>
      </c>
      <c r="J29" s="73">
        <v>229</v>
      </c>
      <c r="K29" s="70"/>
      <c r="L29" s="70">
        <v>250</v>
      </c>
      <c r="M29" s="71">
        <f t="shared" ref="M29:M38" si="15">SUM(J29:L29)</f>
        <v>479</v>
      </c>
      <c r="N29" s="72"/>
      <c r="O29" s="20">
        <f t="shared" ref="O29:O38" si="16">M29+N29</f>
        <v>479</v>
      </c>
      <c r="P29" s="73">
        <v>7.6</v>
      </c>
      <c r="Q29" s="70">
        <v>125.4</v>
      </c>
      <c r="R29" s="70">
        <v>121.7</v>
      </c>
      <c r="S29" s="71">
        <f t="shared" ref="S29:S38" si="17">SUM(P29:R29)</f>
        <v>254.7</v>
      </c>
      <c r="T29" s="72"/>
      <c r="U29" s="20">
        <f t="shared" ref="U29:U38" si="18">S29+T29</f>
        <v>254.7</v>
      </c>
      <c r="V29" s="73">
        <v>33.200000000000003</v>
      </c>
      <c r="W29" s="70"/>
      <c r="X29" s="70">
        <v>500</v>
      </c>
      <c r="Y29" s="71">
        <f t="shared" ref="Y29:Y38" si="19">SUM(V29:X29)</f>
        <v>533.20000000000005</v>
      </c>
      <c r="Z29" s="72">
        <v>0</v>
      </c>
      <c r="AA29" s="20">
        <f t="shared" ref="AA29:AA38" si="20">Y29+Z29</f>
        <v>533.20000000000005</v>
      </c>
      <c r="AB29" s="21">
        <f t="shared" si="12"/>
        <v>1.1131524008350733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637.79999999999995</v>
      </c>
      <c r="E30" s="74"/>
      <c r="F30" s="74" t="s">
        <v>132</v>
      </c>
      <c r="G30" s="71">
        <f t="shared" si="13"/>
        <v>637.79999999999995</v>
      </c>
      <c r="H30" s="71">
        <v>19.899999999999999</v>
      </c>
      <c r="I30" s="20">
        <f t="shared" si="14"/>
        <v>657.69999999999993</v>
      </c>
      <c r="J30" s="75">
        <v>934.7</v>
      </c>
      <c r="K30" s="74"/>
      <c r="L30" s="74">
        <v>245</v>
      </c>
      <c r="M30" s="71">
        <f t="shared" si="15"/>
        <v>1179.7</v>
      </c>
      <c r="N30" s="71">
        <v>50</v>
      </c>
      <c r="O30" s="20">
        <f t="shared" si="16"/>
        <v>1229.7</v>
      </c>
      <c r="P30" s="75">
        <v>419.5</v>
      </c>
      <c r="Q30" s="74"/>
      <c r="R30" s="74"/>
      <c r="S30" s="71">
        <f t="shared" si="17"/>
        <v>419.5</v>
      </c>
      <c r="T30" s="71">
        <v>7.5</v>
      </c>
      <c r="U30" s="20">
        <f t="shared" si="18"/>
        <v>427</v>
      </c>
      <c r="V30" s="75">
        <v>1014.6</v>
      </c>
      <c r="W30" s="74"/>
      <c r="X30" s="74">
        <v>245</v>
      </c>
      <c r="Y30" s="71">
        <f t="shared" si="19"/>
        <v>1259.5999999999999</v>
      </c>
      <c r="Z30" s="71">
        <v>50</v>
      </c>
      <c r="AA30" s="20">
        <f t="shared" si="20"/>
        <v>1309.5999999999999</v>
      </c>
      <c r="AB30" s="21">
        <f t="shared" si="12"/>
        <v>1.0649751972025696</v>
      </c>
      <c r="AC30" s="3"/>
      <c r="AD30" s="3"/>
    </row>
    <row r="31" spans="1:30" x14ac:dyDescent="0.25">
      <c r="A31" s="1"/>
      <c r="B31" s="22" t="s">
        <v>56</v>
      </c>
      <c r="C31" s="41" t="s">
        <v>57</v>
      </c>
      <c r="D31" s="74">
        <v>476.3</v>
      </c>
      <c r="E31" s="74">
        <v>-135.4</v>
      </c>
      <c r="F31" s="74">
        <v>153.19999999999999</v>
      </c>
      <c r="G31" s="71">
        <f t="shared" si="13"/>
        <v>494.09999999999997</v>
      </c>
      <c r="H31" s="71"/>
      <c r="I31" s="20">
        <f t="shared" si="14"/>
        <v>494.09999999999997</v>
      </c>
      <c r="J31" s="75">
        <v>314.7</v>
      </c>
      <c r="K31" s="74"/>
      <c r="L31" s="74">
        <v>810</v>
      </c>
      <c r="M31" s="71">
        <f t="shared" si="15"/>
        <v>1124.7</v>
      </c>
      <c r="N31" s="71"/>
      <c r="O31" s="20">
        <f t="shared" si="16"/>
        <v>1124.7</v>
      </c>
      <c r="P31" s="75">
        <v>279.89999999999998</v>
      </c>
      <c r="Q31" s="74">
        <v>44</v>
      </c>
      <c r="R31" s="74">
        <v>34.5</v>
      </c>
      <c r="S31" s="71">
        <f t="shared" si="17"/>
        <v>358.4</v>
      </c>
      <c r="T31" s="71"/>
      <c r="U31" s="20">
        <f t="shared" si="18"/>
        <v>358.4</v>
      </c>
      <c r="V31" s="75">
        <v>496</v>
      </c>
      <c r="W31" s="74"/>
      <c r="X31" s="74">
        <v>310</v>
      </c>
      <c r="Y31" s="71">
        <f t="shared" si="19"/>
        <v>806</v>
      </c>
      <c r="Z31" s="71">
        <v>0</v>
      </c>
      <c r="AA31" s="20">
        <f t="shared" si="20"/>
        <v>806</v>
      </c>
      <c r="AB31" s="21">
        <f t="shared" si="12"/>
        <v>0.71663554725704626</v>
      </c>
      <c r="AC31" s="3"/>
      <c r="AD31" s="3"/>
    </row>
    <row r="32" spans="1:30" x14ac:dyDescent="0.25">
      <c r="A32" s="1"/>
      <c r="B32" s="22" t="s">
        <v>58</v>
      </c>
      <c r="C32" s="41" t="s">
        <v>59</v>
      </c>
      <c r="D32" s="76">
        <v>154</v>
      </c>
      <c r="E32" s="74">
        <v>6857.4</v>
      </c>
      <c r="F32" s="74">
        <v>355.8</v>
      </c>
      <c r="G32" s="71">
        <f t="shared" si="13"/>
        <v>7367.2</v>
      </c>
      <c r="H32" s="71"/>
      <c r="I32" s="20">
        <f t="shared" si="14"/>
        <v>7367.2</v>
      </c>
      <c r="J32" s="77">
        <v>102</v>
      </c>
      <c r="K32" s="74">
        <v>6606.2</v>
      </c>
      <c r="L32" s="74">
        <v>250</v>
      </c>
      <c r="M32" s="71">
        <f t="shared" si="15"/>
        <v>6958.2</v>
      </c>
      <c r="N32" s="71"/>
      <c r="O32" s="20">
        <f t="shared" si="16"/>
        <v>6958.2</v>
      </c>
      <c r="P32" s="77">
        <v>100</v>
      </c>
      <c r="Q32" s="74">
        <v>3906.1</v>
      </c>
      <c r="R32" s="74"/>
      <c r="S32" s="71">
        <f t="shared" si="17"/>
        <v>4006.1</v>
      </c>
      <c r="T32" s="71"/>
      <c r="U32" s="20">
        <f t="shared" si="18"/>
        <v>4006.1</v>
      </c>
      <c r="V32" s="77">
        <v>112</v>
      </c>
      <c r="W32" s="74">
        <v>7616.9</v>
      </c>
      <c r="X32" s="74">
        <v>250</v>
      </c>
      <c r="Y32" s="71">
        <f t="shared" si="19"/>
        <v>7978.9</v>
      </c>
      <c r="Z32" s="71">
        <v>0</v>
      </c>
      <c r="AA32" s="20">
        <f t="shared" si="20"/>
        <v>7978.9</v>
      </c>
      <c r="AB32" s="21">
        <f t="shared" si="12"/>
        <v>1.1466902359805697</v>
      </c>
      <c r="AC32" s="3"/>
      <c r="AD32" s="3"/>
    </row>
    <row r="33" spans="1:30" x14ac:dyDescent="0.25">
      <c r="A33" s="1"/>
      <c r="B33" s="22" t="s">
        <v>60</v>
      </c>
      <c r="C33" s="35" t="s">
        <v>61</v>
      </c>
      <c r="D33" s="76">
        <v>150</v>
      </c>
      <c r="E33" s="74">
        <v>6304</v>
      </c>
      <c r="F33" s="74">
        <v>293.89999999999998</v>
      </c>
      <c r="G33" s="71">
        <f t="shared" si="13"/>
        <v>6747.9</v>
      </c>
      <c r="H33" s="71"/>
      <c r="I33" s="20">
        <f t="shared" si="14"/>
        <v>6747.9</v>
      </c>
      <c r="J33" s="77">
        <v>102</v>
      </c>
      <c r="K33" s="74">
        <v>6426.2</v>
      </c>
      <c r="L33" s="74">
        <v>150</v>
      </c>
      <c r="M33" s="71">
        <f t="shared" si="15"/>
        <v>6678.2</v>
      </c>
      <c r="N33" s="71"/>
      <c r="O33" s="20">
        <f t="shared" si="16"/>
        <v>6678.2</v>
      </c>
      <c r="P33" s="77">
        <v>100</v>
      </c>
      <c r="Q33" s="74">
        <v>3283.9</v>
      </c>
      <c r="R33" s="74"/>
      <c r="S33" s="71">
        <f t="shared" si="17"/>
        <v>3383.9</v>
      </c>
      <c r="T33" s="71"/>
      <c r="U33" s="20">
        <f t="shared" si="18"/>
        <v>3383.9</v>
      </c>
      <c r="V33" s="77">
        <v>100</v>
      </c>
      <c r="W33" s="74">
        <v>7166.924</v>
      </c>
      <c r="X33" s="74">
        <v>150</v>
      </c>
      <c r="Y33" s="71">
        <f t="shared" si="19"/>
        <v>7416.924</v>
      </c>
      <c r="Z33" s="71">
        <v>0</v>
      </c>
      <c r="AA33" s="20">
        <f t="shared" si="20"/>
        <v>7416.924</v>
      </c>
      <c r="AB33" s="21">
        <f t="shared" si="12"/>
        <v>1.1106172321883143</v>
      </c>
      <c r="AC33" s="3"/>
      <c r="AD33" s="3"/>
    </row>
    <row r="34" spans="1:30" x14ac:dyDescent="0.25">
      <c r="A34" s="1"/>
      <c r="B34" s="22" t="s">
        <v>62</v>
      </c>
      <c r="C34" s="78" t="s">
        <v>63</v>
      </c>
      <c r="D34" s="76">
        <v>4</v>
      </c>
      <c r="E34" s="74">
        <v>553.29999999999995</v>
      </c>
      <c r="F34" s="74">
        <v>61.9</v>
      </c>
      <c r="G34" s="71">
        <f t="shared" si="13"/>
        <v>619.19999999999993</v>
      </c>
      <c r="H34" s="71"/>
      <c r="I34" s="20">
        <f t="shared" si="14"/>
        <v>619.19999999999993</v>
      </c>
      <c r="J34" s="77"/>
      <c r="K34" s="74">
        <v>180</v>
      </c>
      <c r="L34" s="74">
        <v>100</v>
      </c>
      <c r="M34" s="71">
        <f>SUM(J34:L34)</f>
        <v>280</v>
      </c>
      <c r="N34" s="71"/>
      <c r="O34" s="20">
        <f t="shared" si="16"/>
        <v>280</v>
      </c>
      <c r="P34" s="77" t="s">
        <v>132</v>
      </c>
      <c r="Q34" s="74">
        <v>622.20000000000005</v>
      </c>
      <c r="R34" s="74"/>
      <c r="S34" s="71">
        <f t="shared" si="17"/>
        <v>622.20000000000005</v>
      </c>
      <c r="T34" s="71"/>
      <c r="U34" s="20">
        <f t="shared" si="18"/>
        <v>622.20000000000005</v>
      </c>
      <c r="V34" s="77">
        <v>12</v>
      </c>
      <c r="W34" s="74">
        <v>450</v>
      </c>
      <c r="X34" s="74">
        <v>100</v>
      </c>
      <c r="Y34" s="71">
        <f t="shared" si="19"/>
        <v>562</v>
      </c>
      <c r="Z34" s="71">
        <v>0</v>
      </c>
      <c r="AA34" s="20">
        <f t="shared" si="20"/>
        <v>562</v>
      </c>
      <c r="AB34" s="21">
        <f t="shared" si="12"/>
        <v>2.0071428571428571</v>
      </c>
      <c r="AC34" s="3"/>
      <c r="AD34" s="3"/>
    </row>
    <row r="35" spans="1:30" x14ac:dyDescent="0.25">
      <c r="A35" s="1"/>
      <c r="B35" s="22" t="s">
        <v>64</v>
      </c>
      <c r="C35" s="41" t="s">
        <v>65</v>
      </c>
      <c r="D35" s="76">
        <v>50</v>
      </c>
      <c r="E35" s="74">
        <v>2231.1</v>
      </c>
      <c r="F35" s="74">
        <v>108.1</v>
      </c>
      <c r="G35" s="71">
        <f t="shared" si="13"/>
        <v>2389.1999999999998</v>
      </c>
      <c r="H35" s="71"/>
      <c r="I35" s="20">
        <f t="shared" si="14"/>
        <v>2389.1999999999998</v>
      </c>
      <c r="J35" s="77">
        <v>35</v>
      </c>
      <c r="K35" s="74">
        <v>2232.9</v>
      </c>
      <c r="L35" s="74">
        <v>54</v>
      </c>
      <c r="M35" s="71">
        <f t="shared" si="15"/>
        <v>2321.9</v>
      </c>
      <c r="N35" s="71"/>
      <c r="O35" s="20">
        <f t="shared" si="16"/>
        <v>2321.9</v>
      </c>
      <c r="P35" s="77">
        <v>35</v>
      </c>
      <c r="Q35" s="74">
        <v>1191</v>
      </c>
      <c r="R35" s="74"/>
      <c r="S35" s="71">
        <f t="shared" si="17"/>
        <v>1226</v>
      </c>
      <c r="T35" s="71"/>
      <c r="U35" s="20">
        <f t="shared" si="18"/>
        <v>1226</v>
      </c>
      <c r="V35" s="77">
        <v>37</v>
      </c>
      <c r="W35" s="74">
        <f>2490.02+70</f>
        <v>2560.02</v>
      </c>
      <c r="X35" s="74">
        <v>54</v>
      </c>
      <c r="Y35" s="71">
        <f t="shared" si="19"/>
        <v>2651.02</v>
      </c>
      <c r="Z35" s="71">
        <v>0</v>
      </c>
      <c r="AA35" s="20">
        <f t="shared" si="20"/>
        <v>2651.02</v>
      </c>
      <c r="AB35" s="21">
        <f t="shared" si="12"/>
        <v>1.1417459838925017</v>
      </c>
      <c r="AC35" s="3"/>
      <c r="AD35" s="3"/>
    </row>
    <row r="36" spans="1:30" x14ac:dyDescent="0.25">
      <c r="A36" s="1"/>
      <c r="B36" s="22" t="s">
        <v>66</v>
      </c>
      <c r="C36" s="41" t="s">
        <v>67</v>
      </c>
      <c r="D36" s="74" t="s">
        <v>132</v>
      </c>
      <c r="E36" s="74"/>
      <c r="F36" s="74"/>
      <c r="G36" s="71">
        <f t="shared" si="13"/>
        <v>0</v>
      </c>
      <c r="H36" s="71"/>
      <c r="I36" s="20">
        <f t="shared" si="14"/>
        <v>0</v>
      </c>
      <c r="J36" s="75"/>
      <c r="K36" s="74"/>
      <c r="L36" s="74">
        <v>10</v>
      </c>
      <c r="M36" s="71">
        <f t="shared" si="15"/>
        <v>10</v>
      </c>
      <c r="N36" s="71"/>
      <c r="O36" s="20">
        <f t="shared" si="16"/>
        <v>10</v>
      </c>
      <c r="P36" s="75"/>
      <c r="Q36" s="74"/>
      <c r="R36" s="74">
        <v>38.5</v>
      </c>
      <c r="S36" s="71">
        <f t="shared" si="17"/>
        <v>38.5</v>
      </c>
      <c r="T36" s="71"/>
      <c r="U36" s="20">
        <f t="shared" si="18"/>
        <v>38.5</v>
      </c>
      <c r="V36" s="75"/>
      <c r="W36" s="74"/>
      <c r="X36" s="74">
        <v>10</v>
      </c>
      <c r="Y36" s="71">
        <f t="shared" si="19"/>
        <v>10</v>
      </c>
      <c r="Z36" s="71">
        <v>0</v>
      </c>
      <c r="AA36" s="20">
        <f t="shared" si="20"/>
        <v>10</v>
      </c>
      <c r="AB36" s="21">
        <f t="shared" si="12"/>
        <v>1</v>
      </c>
      <c r="AC36" s="3"/>
      <c r="AD36" s="3"/>
    </row>
    <row r="37" spans="1:30" x14ac:dyDescent="0.25">
      <c r="A37" s="1"/>
      <c r="B37" s="22" t="s">
        <v>68</v>
      </c>
      <c r="C37" s="41" t="s">
        <v>69</v>
      </c>
      <c r="D37" s="74">
        <v>205.3</v>
      </c>
      <c r="E37" s="74"/>
      <c r="F37" s="74">
        <v>393.5</v>
      </c>
      <c r="G37" s="71">
        <f t="shared" si="13"/>
        <v>598.79999999999995</v>
      </c>
      <c r="H37" s="71"/>
      <c r="I37" s="20">
        <f t="shared" si="14"/>
        <v>598.79999999999995</v>
      </c>
      <c r="J37" s="75">
        <v>205.3</v>
      </c>
      <c r="K37" s="74"/>
      <c r="L37" s="74">
        <v>393.5</v>
      </c>
      <c r="M37" s="71">
        <f t="shared" si="15"/>
        <v>598.79999999999995</v>
      </c>
      <c r="N37" s="71"/>
      <c r="O37" s="20">
        <f t="shared" si="16"/>
        <v>598.79999999999995</v>
      </c>
      <c r="P37" s="75">
        <v>102.7</v>
      </c>
      <c r="Q37" s="74"/>
      <c r="R37" s="74">
        <v>212.5</v>
      </c>
      <c r="S37" s="71">
        <f t="shared" si="17"/>
        <v>315.2</v>
      </c>
      <c r="T37" s="71"/>
      <c r="U37" s="20">
        <f t="shared" si="18"/>
        <v>315.2</v>
      </c>
      <c r="V37" s="75">
        <v>205.33199999999999</v>
      </c>
      <c r="W37" s="74"/>
      <c r="X37" s="74">
        <v>429.005</v>
      </c>
      <c r="Y37" s="71">
        <f t="shared" si="19"/>
        <v>634.33699999999999</v>
      </c>
      <c r="Z37" s="71">
        <v>0</v>
      </c>
      <c r="AA37" s="20">
        <f t="shared" si="20"/>
        <v>634.33699999999999</v>
      </c>
      <c r="AB37" s="21">
        <f t="shared" si="12"/>
        <v>1.0593470273881096</v>
      </c>
      <c r="AC37" s="3"/>
      <c r="AD37" s="3"/>
    </row>
    <row r="38" spans="1:30" ht="15.75" thickBot="1" x14ac:dyDescent="0.3">
      <c r="A38" s="1"/>
      <c r="B38" s="79" t="s">
        <v>70</v>
      </c>
      <c r="C38" s="80" t="s">
        <v>71</v>
      </c>
      <c r="D38" s="81"/>
      <c r="E38" s="81">
        <v>206.2</v>
      </c>
      <c r="F38" s="81">
        <v>116.6</v>
      </c>
      <c r="G38" s="71">
        <f t="shared" si="13"/>
        <v>322.79999999999995</v>
      </c>
      <c r="H38" s="82"/>
      <c r="I38" s="50">
        <f t="shared" si="14"/>
        <v>322.79999999999995</v>
      </c>
      <c r="J38" s="83"/>
      <c r="K38" s="81">
        <v>161.80000000000001</v>
      </c>
      <c r="L38" s="81">
        <v>594.5</v>
      </c>
      <c r="M38" s="82">
        <f t="shared" si="15"/>
        <v>756.3</v>
      </c>
      <c r="N38" s="82"/>
      <c r="O38" s="50">
        <f t="shared" si="16"/>
        <v>756.3</v>
      </c>
      <c r="P38" s="83">
        <v>2</v>
      </c>
      <c r="Q38" s="81">
        <v>103.1</v>
      </c>
      <c r="R38" s="81">
        <v>38.4</v>
      </c>
      <c r="S38" s="82">
        <f t="shared" si="17"/>
        <v>143.5</v>
      </c>
      <c r="T38" s="82"/>
      <c r="U38" s="50">
        <f t="shared" si="18"/>
        <v>143.5</v>
      </c>
      <c r="V38" s="83"/>
      <c r="W38" s="81">
        <f>143.338+29.337</f>
        <v>172.67499999999998</v>
      </c>
      <c r="X38" s="81">
        <v>559</v>
      </c>
      <c r="Y38" s="82">
        <f t="shared" si="19"/>
        <v>731.67499999999995</v>
      </c>
      <c r="Z38" s="82">
        <v>0</v>
      </c>
      <c r="AA38" s="50">
        <f t="shared" si="20"/>
        <v>731.67499999999995</v>
      </c>
      <c r="AB38" s="51">
        <f t="shared" si="12"/>
        <v>0.96744016924500864</v>
      </c>
      <c r="AC38" s="3"/>
      <c r="AD38" s="3"/>
    </row>
    <row r="39" spans="1:30" ht="15.75" thickBot="1" x14ac:dyDescent="0.3">
      <c r="A39" s="1"/>
      <c r="B39" s="52" t="s">
        <v>72</v>
      </c>
      <c r="C39" s="84" t="s">
        <v>73</v>
      </c>
      <c r="D39" s="85">
        <f>SUM(D35:D38)+SUM(D28:D32)+0.1</f>
        <v>2032.5999999999997</v>
      </c>
      <c r="E39" s="85">
        <f>SUM(E35:E38)+SUM(E28:E32)</f>
        <v>9240.6999999999989</v>
      </c>
      <c r="F39" s="85">
        <f>SUM(F35:F38)+SUM(F28:F32)</f>
        <v>1757</v>
      </c>
      <c r="G39" s="86">
        <f>SUM(D39:F39)</f>
        <v>13030.3</v>
      </c>
      <c r="H39" s="87">
        <f>SUM(H28:H32)+SUM(H35:H38)</f>
        <v>117.1</v>
      </c>
      <c r="I39" s="88">
        <f>SUM(I35:I38)+SUM(I28:I32)+0.1</f>
        <v>13147.4</v>
      </c>
      <c r="J39" s="85">
        <f>SUM(J35:J38)+SUM(J28:J32)</f>
        <v>1820.7</v>
      </c>
      <c r="K39" s="85">
        <f>SUM(K35:K38)+SUM(K28:K32)</f>
        <v>9000.9</v>
      </c>
      <c r="L39" s="85">
        <f>SUM(L35:L38)+SUM(L28:L32)</f>
        <v>2857</v>
      </c>
      <c r="M39" s="86">
        <f>SUM(J39:L39)</f>
        <v>13678.6</v>
      </c>
      <c r="N39" s="87">
        <f>SUM(N28:N32)+SUM(N35:N38)</f>
        <v>350</v>
      </c>
      <c r="O39" s="88">
        <f>SUM(O35:O38)+SUM(O28:O32)</f>
        <v>14028.599999999999</v>
      </c>
      <c r="P39" s="85">
        <f>SUM(P35:P38)+SUM(P28:P32)</f>
        <v>946.7</v>
      </c>
      <c r="Q39" s="85">
        <f>SUM(Q35:Q38)+SUM(Q28:Q32)</f>
        <v>5369.6</v>
      </c>
      <c r="R39" s="85">
        <f>SUM(R35:R38)+SUM(R28:R32)</f>
        <v>609.59999999999991</v>
      </c>
      <c r="S39" s="86">
        <f>SUM(P39:R39)</f>
        <v>6925.9</v>
      </c>
      <c r="T39" s="87">
        <f>SUM(T28:T32)+SUM(T35:T38)</f>
        <v>7.5</v>
      </c>
      <c r="U39" s="88">
        <f>SUM(U35:U38)+SUM(U28:U32)</f>
        <v>6933.4</v>
      </c>
      <c r="V39" s="85">
        <f>SUM(V35:V38)+SUM(V28:V32)</f>
        <v>1898.1320000000001</v>
      </c>
      <c r="W39" s="85">
        <f>SUM(W35:W38)+SUM(W28:W32)</f>
        <v>10349.594999999999</v>
      </c>
      <c r="X39" s="85">
        <f>SUM(X35:X38)+SUM(X28:X32)</f>
        <v>2857.0050000000001</v>
      </c>
      <c r="Y39" s="86">
        <f>SUM(V39:X39)</f>
        <v>15104.732</v>
      </c>
      <c r="Z39" s="87">
        <f>SUM(Z28:Z32)+SUM(Z35:Z38)</f>
        <v>350</v>
      </c>
      <c r="AA39" s="88">
        <f>SUM(AA35:AA38)+SUM(AA28:AA32)</f>
        <v>15454.732</v>
      </c>
      <c r="AB39" s="89">
        <f t="shared" si="12"/>
        <v>1.1016588968250576</v>
      </c>
      <c r="AC39" s="3"/>
      <c r="AD39" s="3"/>
    </row>
    <row r="40" spans="1:30" ht="19.5" thickBot="1" x14ac:dyDescent="0.35">
      <c r="A40" s="1"/>
      <c r="B40" s="90" t="s">
        <v>74</v>
      </c>
      <c r="C40" s="91" t="s">
        <v>75</v>
      </c>
      <c r="D40" s="92">
        <f t="shared" ref="D40:AA40" si="21">D24-D39</f>
        <v>0</v>
      </c>
      <c r="E40" s="92">
        <f t="shared" si="21"/>
        <v>0</v>
      </c>
      <c r="F40" s="92">
        <f t="shared" si="21"/>
        <v>0</v>
      </c>
      <c r="G40" s="93">
        <f t="shared" si="21"/>
        <v>0</v>
      </c>
      <c r="H40" s="93">
        <f t="shared" si="21"/>
        <v>0</v>
      </c>
      <c r="I40" s="94">
        <f t="shared" si="21"/>
        <v>0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-105.70000000000005</v>
      </c>
      <c r="Q40" s="92">
        <f t="shared" si="21"/>
        <v>164.89999999999964</v>
      </c>
      <c r="R40" s="92">
        <f t="shared" si="21"/>
        <v>1163.0000000000002</v>
      </c>
      <c r="S40" s="93">
        <f t="shared" si="21"/>
        <v>1222.2000000000007</v>
      </c>
      <c r="T40" s="93">
        <f t="shared" si="21"/>
        <v>121.19999999999999</v>
      </c>
      <c r="U40" s="94">
        <f t="shared" si="21"/>
        <v>1343.3999999999996</v>
      </c>
      <c r="V40" s="92">
        <f t="shared" si="21"/>
        <v>-3.1999999999925421E-2</v>
      </c>
      <c r="W40" s="92">
        <f t="shared" si="21"/>
        <v>2.4000000001251465E-2</v>
      </c>
      <c r="X40" s="92">
        <f t="shared" si="21"/>
        <v>-5.0000000001091394E-3</v>
      </c>
      <c r="Y40" s="93">
        <f t="shared" si="21"/>
        <v>-1.299999999901047E-2</v>
      </c>
      <c r="Z40" s="93">
        <f t="shared" si="21"/>
        <v>0</v>
      </c>
      <c r="AA40" s="94">
        <f t="shared" si="21"/>
        <v>-1.299999999901047E-2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76</v>
      </c>
      <c r="C41" s="97" t="s">
        <v>77</v>
      </c>
      <c r="D41" s="98"/>
      <c r="E41" s="99"/>
      <c r="F41" s="99"/>
      <c r="G41" s="100"/>
      <c r="H41" s="101"/>
      <c r="I41" s="102">
        <f>I40-D16</f>
        <v>-1804.2</v>
      </c>
      <c r="J41" s="98"/>
      <c r="K41" s="99"/>
      <c r="L41" s="99"/>
      <c r="M41" s="100"/>
      <c r="N41" s="103"/>
      <c r="O41" s="102">
        <f>O40-J16</f>
        <v>-1310</v>
      </c>
      <c r="P41" s="98"/>
      <c r="Q41" s="99"/>
      <c r="R41" s="99"/>
      <c r="S41" s="100"/>
      <c r="T41" s="103"/>
      <c r="U41" s="102">
        <f>U40-P16</f>
        <v>688.39999999999964</v>
      </c>
      <c r="V41" s="98"/>
      <c r="W41" s="99"/>
      <c r="X41" s="99"/>
      <c r="Y41" s="100"/>
      <c r="Z41" s="103"/>
      <c r="AA41" s="102">
        <f>AA40-V16</f>
        <v>-1714.9129999999991</v>
      </c>
      <c r="AB41" s="21">
        <f t="shared" si="12"/>
        <v>1.3090938931297702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928" t="s">
        <v>78</v>
      </c>
      <c r="D43" s="112" t="s">
        <v>79</v>
      </c>
      <c r="E43" s="113" t="s">
        <v>80</v>
      </c>
      <c r="F43" s="114" t="s">
        <v>81</v>
      </c>
      <c r="G43" s="108"/>
      <c r="H43" s="108"/>
      <c r="I43" s="115"/>
      <c r="J43" s="112" t="s">
        <v>79</v>
      </c>
      <c r="K43" s="113" t="s">
        <v>80</v>
      </c>
      <c r="L43" s="114" t="s">
        <v>81</v>
      </c>
      <c r="M43" s="108"/>
      <c r="N43" s="108"/>
      <c r="O43" s="108"/>
      <c r="P43" s="112" t="s">
        <v>79</v>
      </c>
      <c r="Q43" s="113" t="s">
        <v>80</v>
      </c>
      <c r="R43" s="114" t="s">
        <v>81</v>
      </c>
      <c r="S43" s="109"/>
      <c r="T43" s="109"/>
      <c r="U43" s="109"/>
      <c r="V43" s="112" t="s">
        <v>79</v>
      </c>
      <c r="W43" s="113" t="s">
        <v>80</v>
      </c>
      <c r="X43" s="114" t="s">
        <v>81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929"/>
      <c r="D44" s="116">
        <v>205.3</v>
      </c>
      <c r="E44" s="117">
        <v>205.3</v>
      </c>
      <c r="F44" s="118">
        <v>0</v>
      </c>
      <c r="G44" s="108"/>
      <c r="H44" s="108"/>
      <c r="I44" s="115"/>
      <c r="J44" s="116">
        <v>205.3</v>
      </c>
      <c r="K44" s="117">
        <v>205.3</v>
      </c>
      <c r="L44" s="118">
        <v>0</v>
      </c>
      <c r="M44" s="119"/>
      <c r="N44" s="119"/>
      <c r="O44" s="119"/>
      <c r="P44" s="116">
        <v>205.3</v>
      </c>
      <c r="Q44" s="117">
        <v>205.3</v>
      </c>
      <c r="R44" s="118">
        <v>0</v>
      </c>
      <c r="S44" s="3"/>
      <c r="T44" s="3"/>
      <c r="U44" s="3"/>
      <c r="V44" s="116">
        <v>205.33199999999999</v>
      </c>
      <c r="W44" s="117">
        <v>205.3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928" t="s">
        <v>82</v>
      </c>
      <c r="D46" s="120" t="s">
        <v>83</v>
      </c>
      <c r="E46" s="121" t="s">
        <v>84</v>
      </c>
      <c r="F46" s="108"/>
      <c r="G46" s="108"/>
      <c r="H46" s="108"/>
      <c r="I46" s="115"/>
      <c r="J46" s="120" t="s">
        <v>83</v>
      </c>
      <c r="K46" s="121" t="s">
        <v>84</v>
      </c>
      <c r="L46" s="122"/>
      <c r="M46" s="122"/>
      <c r="N46" s="109"/>
      <c r="O46" s="109"/>
      <c r="P46" s="120" t="s">
        <v>83</v>
      </c>
      <c r="Q46" s="121" t="s">
        <v>84</v>
      </c>
      <c r="R46" s="109"/>
      <c r="S46" s="109"/>
      <c r="T46" s="109"/>
      <c r="U46" s="109"/>
      <c r="V46" s="120" t="s">
        <v>83</v>
      </c>
      <c r="W46" s="121" t="s">
        <v>84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930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85</v>
      </c>
      <c r="D49" s="127" t="s">
        <v>86</v>
      </c>
      <c r="E49" s="127" t="s">
        <v>87</v>
      </c>
      <c r="F49" s="127" t="s">
        <v>88</v>
      </c>
      <c r="G49" s="127" t="s">
        <v>89</v>
      </c>
      <c r="H49" s="108"/>
      <c r="I49" s="3"/>
      <c r="J49" s="127" t="s">
        <v>86</v>
      </c>
      <c r="K49" s="127" t="s">
        <v>87</v>
      </c>
      <c r="L49" s="127" t="s">
        <v>88</v>
      </c>
      <c r="M49" s="127" t="s">
        <v>90</v>
      </c>
      <c r="N49" s="3"/>
      <c r="O49" s="3"/>
      <c r="P49" s="127" t="s">
        <v>86</v>
      </c>
      <c r="Q49" s="127" t="s">
        <v>87</v>
      </c>
      <c r="R49" s="127" t="s">
        <v>88</v>
      </c>
      <c r="S49" s="127" t="s">
        <v>102</v>
      </c>
      <c r="T49" s="3"/>
      <c r="U49" s="3"/>
      <c r="V49" s="127" t="s">
        <v>92</v>
      </c>
      <c r="W49" s="127" t="s">
        <v>87</v>
      </c>
      <c r="X49" s="127" t="s">
        <v>88</v>
      </c>
      <c r="Y49" s="127" t="s">
        <v>90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>
        <f>SUM(D51:D54)</f>
        <v>959.5</v>
      </c>
      <c r="E50" s="129">
        <f t="shared" ref="E50:F50" si="22">SUM(E51:E54)</f>
        <v>1819.6000000000001</v>
      </c>
      <c r="F50" s="129">
        <f t="shared" si="22"/>
        <v>402</v>
      </c>
      <c r="G50" s="130">
        <f>D50+E50-F50</f>
        <v>2377.1000000000004</v>
      </c>
      <c r="H50" s="108"/>
      <c r="I50" s="3"/>
      <c r="J50" s="129">
        <f>SUM(J51:J54)</f>
        <v>1388.7</v>
      </c>
      <c r="K50" s="129">
        <f t="shared" ref="K50:L50" si="23">SUM(K51:K54)</f>
        <v>520.20000000000005</v>
      </c>
      <c r="L50" s="129">
        <f t="shared" si="23"/>
        <v>285.3</v>
      </c>
      <c r="M50" s="130">
        <f>J50+K50-L50</f>
        <v>1623.6000000000001</v>
      </c>
      <c r="N50" s="3"/>
      <c r="O50" s="3"/>
      <c r="P50" s="129">
        <f>SUM(P51:P54)</f>
        <v>2377.1</v>
      </c>
      <c r="Q50" s="129">
        <f t="shared" ref="Q50:S50" si="24">SUM(Q51:Q54)</f>
        <v>327.85599999999999</v>
      </c>
      <c r="R50" s="129">
        <f t="shared" si="24"/>
        <v>395.02799999999996</v>
      </c>
      <c r="S50" s="129">
        <f t="shared" si="24"/>
        <v>2309.9279999999999</v>
      </c>
      <c r="T50" s="3"/>
      <c r="U50" s="3"/>
      <c r="V50" s="129">
        <f>SUM(V51:V54)</f>
        <v>1692.5000000000002</v>
      </c>
      <c r="W50" s="129">
        <f t="shared" ref="W50:Y50" si="25">SUM(W51:W54)</f>
        <v>507.36700000000002</v>
      </c>
      <c r="X50" s="129">
        <f t="shared" si="25"/>
        <v>285.33199999999999</v>
      </c>
      <c r="Y50" s="129">
        <f t="shared" si="25"/>
        <v>1914.5350000000001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570.20000000000005</v>
      </c>
      <c r="E51" s="129">
        <f>181.7+1205.7</f>
        <v>1387.4</v>
      </c>
      <c r="F51" s="129">
        <v>110</v>
      </c>
      <c r="G51" s="130">
        <f t="shared" ref="G51:G54" si="26">D51+E51-F51</f>
        <v>1847.6000000000001</v>
      </c>
      <c r="H51" s="108"/>
      <c r="I51" s="3"/>
      <c r="J51" s="129">
        <v>886</v>
      </c>
      <c r="K51" s="129">
        <v>130</v>
      </c>
      <c r="L51" s="129">
        <v>0</v>
      </c>
      <c r="M51" s="130">
        <f t="shared" ref="M51:M54" si="27">J51+K51-L51</f>
        <v>1016</v>
      </c>
      <c r="N51" s="3"/>
      <c r="O51" s="3"/>
      <c r="P51" s="129">
        <v>1847.6</v>
      </c>
      <c r="Q51" s="129">
        <v>116.5</v>
      </c>
      <c r="R51" s="129">
        <v>357.62799999999999</v>
      </c>
      <c r="S51" s="130">
        <f t="shared" ref="S51:S54" si="28">P51+Q51-R51</f>
        <v>1606.472</v>
      </c>
      <c r="T51" s="3"/>
      <c r="U51" s="3"/>
      <c r="V51" s="129">
        <v>1016</v>
      </c>
      <c r="W51" s="129">
        <v>80</v>
      </c>
      <c r="X51" s="129">
        <v>0</v>
      </c>
      <c r="Y51" s="130">
        <f t="shared" ref="Y51:Y54" si="29">V51+W51-X51</f>
        <v>1096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1.9</v>
      </c>
      <c r="E52" s="129">
        <v>251.8</v>
      </c>
      <c r="F52" s="129">
        <v>205.3</v>
      </c>
      <c r="G52" s="130">
        <f t="shared" si="26"/>
        <v>48.400000000000006</v>
      </c>
      <c r="H52" s="108"/>
      <c r="I52" s="3"/>
      <c r="J52" s="129">
        <v>48.4</v>
      </c>
      <c r="K52" s="129">
        <v>251.8</v>
      </c>
      <c r="L52" s="129">
        <v>205.3</v>
      </c>
      <c r="M52" s="130">
        <f t="shared" si="27"/>
        <v>94.899999999999977</v>
      </c>
      <c r="N52" s="3"/>
      <c r="O52" s="3"/>
      <c r="P52" s="129">
        <v>48.4</v>
      </c>
      <c r="Q52" s="129">
        <v>143.68299999999999</v>
      </c>
      <c r="R52" s="129">
        <v>0</v>
      </c>
      <c r="S52" s="130">
        <f t="shared" si="28"/>
        <v>192.083</v>
      </c>
      <c r="T52" s="3"/>
      <c r="U52" s="3"/>
      <c r="V52" s="129">
        <v>130.4</v>
      </c>
      <c r="W52" s="129">
        <v>287.36700000000002</v>
      </c>
      <c r="X52" s="129">
        <v>205.33199999999999</v>
      </c>
      <c r="Y52" s="130">
        <f t="shared" si="29"/>
        <v>212.43500000000006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249</v>
      </c>
      <c r="E53" s="129">
        <v>45.4</v>
      </c>
      <c r="F53" s="129">
        <v>0</v>
      </c>
      <c r="G53" s="130">
        <f t="shared" si="26"/>
        <v>294.39999999999998</v>
      </c>
      <c r="H53" s="108"/>
      <c r="I53" s="3"/>
      <c r="J53" s="129">
        <v>294.5</v>
      </c>
      <c r="K53" s="129">
        <v>0</v>
      </c>
      <c r="L53" s="129">
        <v>0</v>
      </c>
      <c r="M53" s="130">
        <f t="shared" si="27"/>
        <v>294.5</v>
      </c>
      <c r="N53" s="3"/>
      <c r="O53" s="3"/>
      <c r="P53" s="129">
        <v>294.39999999999998</v>
      </c>
      <c r="Q53" s="129">
        <v>0</v>
      </c>
      <c r="R53" s="129">
        <v>0</v>
      </c>
      <c r="S53" s="130">
        <f t="shared" si="28"/>
        <v>294.39999999999998</v>
      </c>
      <c r="T53" s="3"/>
      <c r="U53" s="3"/>
      <c r="V53" s="129">
        <v>294.39999999999998</v>
      </c>
      <c r="W53" s="129">
        <v>0</v>
      </c>
      <c r="X53" s="129">
        <v>0</v>
      </c>
      <c r="Y53" s="130">
        <f t="shared" si="29"/>
        <v>294.39999999999998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3" t="s">
        <v>97</v>
      </c>
      <c r="D54" s="129">
        <v>138.4</v>
      </c>
      <c r="E54" s="129">
        <v>135</v>
      </c>
      <c r="F54" s="129">
        <v>86.7</v>
      </c>
      <c r="G54" s="130">
        <f t="shared" si="26"/>
        <v>186.7</v>
      </c>
      <c r="H54" s="108"/>
      <c r="I54" s="3"/>
      <c r="J54" s="129">
        <v>159.80000000000001</v>
      </c>
      <c r="K54" s="129">
        <v>138.4</v>
      </c>
      <c r="L54" s="129">
        <v>80</v>
      </c>
      <c r="M54" s="130">
        <f t="shared" si="27"/>
        <v>218.20000000000005</v>
      </c>
      <c r="N54" s="3"/>
      <c r="O54" s="3"/>
      <c r="P54" s="129">
        <v>186.7</v>
      </c>
      <c r="Q54" s="129">
        <v>67.673000000000002</v>
      </c>
      <c r="R54" s="129">
        <v>37.4</v>
      </c>
      <c r="S54" s="130">
        <f t="shared" si="28"/>
        <v>216.97299999999998</v>
      </c>
      <c r="T54" s="3"/>
      <c r="U54" s="3"/>
      <c r="V54" s="129">
        <v>251.7</v>
      </c>
      <c r="W54" s="129">
        <v>140</v>
      </c>
      <c r="X54" s="129">
        <v>80</v>
      </c>
      <c r="Y54" s="130">
        <f t="shared" si="29"/>
        <v>311.7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4">
        <v>16.100000000000001</v>
      </c>
      <c r="E57" s="134">
        <v>16.100000000000001</v>
      </c>
      <c r="F57" s="108"/>
      <c r="G57" s="108"/>
      <c r="H57" s="108"/>
      <c r="I57" s="115"/>
      <c r="J57" s="134">
        <v>15.1</v>
      </c>
      <c r="K57" s="108"/>
      <c r="L57" s="108"/>
      <c r="M57" s="108"/>
      <c r="N57" s="108"/>
      <c r="O57" s="115"/>
      <c r="P57" s="134">
        <v>15.6</v>
      </c>
      <c r="Q57" s="115"/>
      <c r="R57" s="115"/>
      <c r="S57" s="115"/>
      <c r="T57" s="115"/>
      <c r="U57" s="115"/>
      <c r="V57" s="134">
        <v>15.6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5" t="s">
        <v>103</v>
      </c>
      <c r="C59" s="136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  <c r="O59" s="931"/>
      <c r="P59" s="931"/>
      <c r="Q59" s="931"/>
      <c r="R59" s="931"/>
      <c r="S59" s="931"/>
      <c r="T59" s="931"/>
      <c r="U59" s="931"/>
      <c r="V59" s="137"/>
      <c r="W59" s="137"/>
      <c r="X59" s="137"/>
      <c r="Y59" s="137"/>
      <c r="Z59" s="137"/>
      <c r="AA59" s="137"/>
      <c r="AB59" s="138"/>
      <c r="AC59" s="3"/>
      <c r="AD59" s="3"/>
    </row>
    <row r="60" spans="1:30" x14ac:dyDescent="0.25">
      <c r="A60" s="1"/>
      <c r="B60" s="13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0"/>
      <c r="AC60" s="3"/>
      <c r="AD60" s="3"/>
    </row>
    <row r="61" spans="1:30" x14ac:dyDescent="0.25">
      <c r="A61" s="1"/>
      <c r="B61" s="925"/>
      <c r="C61" s="921"/>
      <c r="D61" s="921"/>
      <c r="E61" s="921"/>
      <c r="F61" s="921"/>
      <c r="G61" s="921"/>
      <c r="H61" s="921"/>
      <c r="I61" s="921"/>
      <c r="J61" s="921"/>
      <c r="K61" s="921"/>
      <c r="L61" s="921"/>
      <c r="M61" s="921"/>
      <c r="N61" s="921"/>
      <c r="O61" s="921"/>
      <c r="P61" s="921"/>
      <c r="Q61" s="921"/>
      <c r="R61" s="921"/>
      <c r="S61" s="921"/>
      <c r="T61" s="921"/>
      <c r="U61" s="921"/>
      <c r="V61" s="110"/>
      <c r="W61" s="110"/>
      <c r="X61" s="110"/>
      <c r="Y61" s="110"/>
      <c r="Z61" s="110"/>
      <c r="AA61" s="110"/>
      <c r="AB61" s="140"/>
      <c r="AC61" s="3"/>
      <c r="AD61" s="3"/>
    </row>
    <row r="62" spans="1:30" x14ac:dyDescent="0.25">
      <c r="A62" s="104"/>
      <c r="B62" s="152"/>
      <c r="C62" s="153"/>
      <c r="D62" s="152"/>
      <c r="E62" s="152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5">
      <c r="A63" s="104"/>
      <c r="B63" s="152"/>
      <c r="C63" s="153"/>
      <c r="D63" s="152"/>
      <c r="E63" s="152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A64" s="1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25">
      <c r="A65" s="1"/>
      <c r="B65" s="155" t="s">
        <v>109</v>
      </c>
      <c r="C65" s="156"/>
      <c r="D65" s="155" t="s">
        <v>110</v>
      </c>
      <c r="E65" s="921"/>
      <c r="F65" s="921"/>
      <c r="G65" s="921"/>
      <c r="H65" s="155"/>
      <c r="I65" s="155" t="s">
        <v>112</v>
      </c>
      <c r="J65" s="922"/>
      <c r="K65" s="922"/>
      <c r="L65" s="922"/>
      <c r="M65" s="922"/>
      <c r="N65" s="155"/>
      <c r="O65" s="155"/>
      <c r="P65" s="155"/>
      <c r="Q65" s="155"/>
      <c r="R65" s="155"/>
      <c r="S65" s="155"/>
      <c r="T65" s="155"/>
      <c r="U65" s="155"/>
      <c r="V65" s="3"/>
      <c r="W65" s="3"/>
      <c r="X65" s="3"/>
      <c r="Y65" s="3"/>
      <c r="Z65" s="3"/>
      <c r="AA65" s="3"/>
      <c r="AB65" s="3"/>
      <c r="AC65" s="3"/>
      <c r="AD65" s="3"/>
    </row>
    <row r="66" spans="1:30" ht="7.5" customHeight="1" x14ac:dyDescent="0.25">
      <c r="A66" s="1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5">
      <c r="A67" s="1"/>
      <c r="B67" s="155"/>
      <c r="C67" s="155"/>
      <c r="D67" s="155" t="s">
        <v>114</v>
      </c>
      <c r="E67" s="157"/>
      <c r="F67" s="157"/>
      <c r="G67" s="157"/>
      <c r="H67" s="155"/>
      <c r="I67" s="155" t="s">
        <v>114</v>
      </c>
      <c r="J67" s="158"/>
      <c r="K67" s="158"/>
      <c r="L67" s="158"/>
      <c r="M67" s="158"/>
      <c r="N67" s="155"/>
      <c r="O67" s="155"/>
      <c r="P67" s="155"/>
      <c r="Q67" s="155"/>
      <c r="R67" s="155"/>
      <c r="S67" s="155"/>
      <c r="T67" s="155"/>
      <c r="U67" s="155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5">
      <c r="A68" s="1"/>
      <c r="B68" s="155"/>
      <c r="C68" s="155"/>
      <c r="D68" s="155"/>
      <c r="E68" s="157"/>
      <c r="F68" s="157"/>
      <c r="G68" s="157"/>
      <c r="H68" s="155"/>
      <c r="I68" s="155"/>
      <c r="J68" s="158"/>
      <c r="K68" s="158"/>
      <c r="L68" s="158"/>
      <c r="M68" s="158"/>
      <c r="N68" s="155"/>
      <c r="O68" s="155"/>
      <c r="P68" s="155"/>
      <c r="Q68" s="155"/>
      <c r="R68" s="155"/>
      <c r="S68" s="155"/>
      <c r="T68" s="155"/>
      <c r="U68" s="155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A69" s="1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5">
      <c r="A70" s="1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3"/>
      <c r="W70" s="3"/>
      <c r="X70" s="3"/>
      <c r="Y70" s="3"/>
      <c r="Z70" s="3"/>
      <c r="AA70" s="3"/>
      <c r="AB70" s="3"/>
      <c r="AC70" s="3"/>
      <c r="AD70" s="3"/>
    </row>
    <row r="71" spans="1:30" hidden="1" x14ac:dyDescent="0.25">
      <c r="AC71" s="4"/>
      <c r="AD71" s="4"/>
    </row>
    <row r="72" spans="1:30" hidden="1" x14ac:dyDescent="0.25"/>
    <row r="73" spans="1:30" hidden="1" x14ac:dyDescent="0.25"/>
    <row r="74" spans="1:30" hidden="1" x14ac:dyDescent="0.25"/>
    <row r="75" spans="1:30" hidden="1" x14ac:dyDescent="0.25"/>
    <row r="76" spans="1:30" hidden="1" x14ac:dyDescent="0.25"/>
    <row r="77" spans="1:30" hidden="1" x14ac:dyDescent="0.25"/>
    <row r="78" spans="1:30" hidden="1" x14ac:dyDescent="0.25"/>
    <row r="79" spans="1:30" hidden="1" x14ac:dyDescent="0.25"/>
    <row r="80" spans="1:3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t="15" hidden="1" customHeight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t="15" hidden="1" customHeight="1" x14ac:dyDescent="0.25"/>
    <row r="102" ht="15" hidden="1" customHeight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2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J13:L13"/>
    <mergeCell ref="M13:M14"/>
    <mergeCell ref="N13:N14"/>
    <mergeCell ref="O13:O14"/>
    <mergeCell ref="P13:R13"/>
    <mergeCell ref="AB25:AB27"/>
    <mergeCell ref="J26:L26"/>
    <mergeCell ref="M26:M27"/>
    <mergeCell ref="N26:N27"/>
    <mergeCell ref="O26:O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E65:G65"/>
    <mergeCell ref="J65:M65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30"/>
  <sheetViews>
    <sheetView showGridLines="0" view="pageBreakPreview" zoomScale="80" zoomScaleNormal="80" zoomScaleSheetLayoutView="80" workbookViewId="0">
      <selection activeCell="C42" sqref="C4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343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7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3"/>
      <c r="B2" s="478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7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7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3"/>
      <c r="B4" s="3" t="s">
        <v>1</v>
      </c>
      <c r="C4" s="3"/>
      <c r="D4" s="871" t="s">
        <v>153</v>
      </c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7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3"/>
      <c r="B6" s="3" t="s">
        <v>3</v>
      </c>
      <c r="C6" s="3"/>
      <c r="D6" s="358">
        <v>46790080</v>
      </c>
      <c r="E6" s="3"/>
      <c r="F6" s="3"/>
      <c r="G6" s="3"/>
      <c r="H6" s="3"/>
      <c r="I6" s="3"/>
      <c r="J6" s="3"/>
      <c r="K6" s="3"/>
      <c r="L6" s="3"/>
      <c r="M6" s="47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3"/>
      <c r="B7" s="3"/>
      <c r="C7" s="3"/>
      <c r="D7" s="477"/>
      <c r="E7" s="3"/>
      <c r="F7" s="3"/>
      <c r="G7" s="3"/>
      <c r="H7" s="3"/>
      <c r="I7" s="3"/>
      <c r="J7" s="3"/>
      <c r="K7" s="3"/>
      <c r="L7" s="3"/>
      <c r="M7" s="47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3"/>
      <c r="B8" s="3" t="s">
        <v>4</v>
      </c>
      <c r="C8" s="3"/>
      <c r="D8" s="872" t="s">
        <v>152</v>
      </c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7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3"/>
      <c r="B10" s="879" t="s">
        <v>6</v>
      </c>
      <c r="C10" s="864" t="s">
        <v>7</v>
      </c>
      <c r="D10" s="831" t="s">
        <v>8</v>
      </c>
      <c r="E10" s="832"/>
      <c r="F10" s="832"/>
      <c r="G10" s="832"/>
      <c r="H10" s="832"/>
      <c r="I10" s="833"/>
      <c r="J10" s="831" t="s">
        <v>9</v>
      </c>
      <c r="K10" s="832"/>
      <c r="L10" s="832"/>
      <c r="M10" s="832"/>
      <c r="N10" s="832"/>
      <c r="O10" s="833"/>
      <c r="P10" s="831" t="s">
        <v>10</v>
      </c>
      <c r="Q10" s="832"/>
      <c r="R10" s="832"/>
      <c r="S10" s="832"/>
      <c r="T10" s="832"/>
      <c r="U10" s="833"/>
      <c r="V10" s="831" t="s">
        <v>11</v>
      </c>
      <c r="W10" s="832"/>
      <c r="X10" s="832"/>
      <c r="Y10" s="832"/>
      <c r="Z10" s="832"/>
      <c r="AA10" s="833"/>
      <c r="AB10" s="849" t="s">
        <v>12</v>
      </c>
      <c r="AC10" s="3"/>
      <c r="AD10" s="3"/>
    </row>
    <row r="11" spans="1:30" ht="30.75" customHeight="1" thickBot="1" x14ac:dyDescent="0.3">
      <c r="A11" s="3"/>
      <c r="B11" s="880"/>
      <c r="C11" s="865"/>
      <c r="D11" s="852" t="s">
        <v>13</v>
      </c>
      <c r="E11" s="853"/>
      <c r="F11" s="853"/>
      <c r="G11" s="854"/>
      <c r="H11" s="475" t="s">
        <v>14</v>
      </c>
      <c r="I11" s="475" t="s">
        <v>15</v>
      </c>
      <c r="J11" s="852" t="s">
        <v>13</v>
      </c>
      <c r="K11" s="853"/>
      <c r="L11" s="853"/>
      <c r="M11" s="854"/>
      <c r="N11" s="475" t="s">
        <v>14</v>
      </c>
      <c r="O11" s="475" t="s">
        <v>15</v>
      </c>
      <c r="P11" s="852" t="s">
        <v>13</v>
      </c>
      <c r="Q11" s="853"/>
      <c r="R11" s="853"/>
      <c r="S11" s="854"/>
      <c r="T11" s="475" t="s">
        <v>14</v>
      </c>
      <c r="U11" s="475" t="s">
        <v>15</v>
      </c>
      <c r="V11" s="852" t="s">
        <v>13</v>
      </c>
      <c r="W11" s="853"/>
      <c r="X11" s="853"/>
      <c r="Y11" s="854"/>
      <c r="Z11" s="475" t="s">
        <v>14</v>
      </c>
      <c r="AA11" s="475" t="s">
        <v>15</v>
      </c>
      <c r="AB11" s="850"/>
      <c r="AC11" s="3"/>
      <c r="AD11" s="3"/>
    </row>
    <row r="12" spans="1:30" ht="15.75" customHeight="1" thickBot="1" x14ac:dyDescent="0.3">
      <c r="A12" s="3"/>
      <c r="B12" s="880"/>
      <c r="C12" s="866"/>
      <c r="D12" s="855" t="s">
        <v>16</v>
      </c>
      <c r="E12" s="856"/>
      <c r="F12" s="856"/>
      <c r="G12" s="856"/>
      <c r="H12" s="856"/>
      <c r="I12" s="857"/>
      <c r="J12" s="855" t="s">
        <v>16</v>
      </c>
      <c r="K12" s="856"/>
      <c r="L12" s="856"/>
      <c r="M12" s="856"/>
      <c r="N12" s="856"/>
      <c r="O12" s="857"/>
      <c r="P12" s="855" t="s">
        <v>16</v>
      </c>
      <c r="Q12" s="856"/>
      <c r="R12" s="856"/>
      <c r="S12" s="856"/>
      <c r="T12" s="856"/>
      <c r="U12" s="857"/>
      <c r="V12" s="855" t="s">
        <v>16</v>
      </c>
      <c r="W12" s="856"/>
      <c r="X12" s="856"/>
      <c r="Y12" s="856"/>
      <c r="Z12" s="856"/>
      <c r="AA12" s="857"/>
      <c r="AB12" s="850"/>
      <c r="AC12" s="3"/>
      <c r="AD12" s="3"/>
    </row>
    <row r="13" spans="1:30" ht="15.75" customHeight="1" thickBot="1" x14ac:dyDescent="0.3">
      <c r="A13" s="3"/>
      <c r="B13" s="881"/>
      <c r="C13" s="867"/>
      <c r="D13" s="858" t="s">
        <v>17</v>
      </c>
      <c r="E13" s="859"/>
      <c r="F13" s="859"/>
      <c r="G13" s="838" t="s">
        <v>18</v>
      </c>
      <c r="H13" s="840" t="s">
        <v>19</v>
      </c>
      <c r="I13" s="860" t="s">
        <v>16</v>
      </c>
      <c r="J13" s="858" t="s">
        <v>17</v>
      </c>
      <c r="K13" s="859"/>
      <c r="L13" s="859"/>
      <c r="M13" s="838" t="s">
        <v>18</v>
      </c>
      <c r="N13" s="840" t="s">
        <v>19</v>
      </c>
      <c r="O13" s="860" t="s">
        <v>16</v>
      </c>
      <c r="P13" s="858" t="s">
        <v>17</v>
      </c>
      <c r="Q13" s="859"/>
      <c r="R13" s="859"/>
      <c r="S13" s="838" t="s">
        <v>18</v>
      </c>
      <c r="T13" s="840" t="s">
        <v>19</v>
      </c>
      <c r="U13" s="860" t="s">
        <v>16</v>
      </c>
      <c r="V13" s="858" t="s">
        <v>17</v>
      </c>
      <c r="W13" s="859"/>
      <c r="X13" s="859"/>
      <c r="Y13" s="838" t="s">
        <v>18</v>
      </c>
      <c r="Z13" s="840" t="s">
        <v>19</v>
      </c>
      <c r="AA13" s="860" t="s">
        <v>16</v>
      </c>
      <c r="AB13" s="850"/>
      <c r="AC13" s="3"/>
      <c r="AD13" s="3"/>
    </row>
    <row r="14" spans="1:30" ht="15.75" thickBot="1" x14ac:dyDescent="0.3">
      <c r="A14" s="3"/>
      <c r="B14" s="474"/>
      <c r="C14" s="473"/>
      <c r="D14" s="472" t="s">
        <v>20</v>
      </c>
      <c r="E14" s="471" t="s">
        <v>21</v>
      </c>
      <c r="F14" s="471" t="s">
        <v>22</v>
      </c>
      <c r="G14" s="839"/>
      <c r="H14" s="841"/>
      <c r="I14" s="861"/>
      <c r="J14" s="472" t="s">
        <v>20</v>
      </c>
      <c r="K14" s="471" t="s">
        <v>21</v>
      </c>
      <c r="L14" s="471" t="s">
        <v>22</v>
      </c>
      <c r="M14" s="839"/>
      <c r="N14" s="841"/>
      <c r="O14" s="861"/>
      <c r="P14" s="472" t="s">
        <v>20</v>
      </c>
      <c r="Q14" s="471" t="s">
        <v>21</v>
      </c>
      <c r="R14" s="471" t="s">
        <v>22</v>
      </c>
      <c r="S14" s="839"/>
      <c r="T14" s="841"/>
      <c r="U14" s="861"/>
      <c r="V14" s="472" t="s">
        <v>20</v>
      </c>
      <c r="W14" s="471" t="s">
        <v>21</v>
      </c>
      <c r="X14" s="471" t="s">
        <v>22</v>
      </c>
      <c r="Y14" s="839"/>
      <c r="Z14" s="841"/>
      <c r="AA14" s="861"/>
      <c r="AB14" s="851"/>
      <c r="AC14" s="3"/>
      <c r="AD14" s="3"/>
    </row>
    <row r="15" spans="1:30" x14ac:dyDescent="0.25">
      <c r="A15" s="3"/>
      <c r="B15" s="433" t="s">
        <v>23</v>
      </c>
      <c r="C15" s="432" t="s">
        <v>24</v>
      </c>
      <c r="D15" s="470"/>
      <c r="E15" s="469"/>
      <c r="F15" s="468">
        <v>9633</v>
      </c>
      <c r="G15" s="467">
        <f t="shared" ref="G15:G24" si="0">SUM(D15:F15)</f>
        <v>9633</v>
      </c>
      <c r="H15" s="457">
        <v>163</v>
      </c>
      <c r="I15" s="420">
        <f t="shared" ref="I15:I23" si="1">G15+H15</f>
        <v>9796</v>
      </c>
      <c r="J15" s="470"/>
      <c r="K15" s="469"/>
      <c r="L15" s="468">
        <v>7595</v>
      </c>
      <c r="M15" s="467">
        <f t="shared" ref="M15:M24" si="2">SUM(J15:L15)</f>
        <v>7595</v>
      </c>
      <c r="N15" s="457">
        <v>0</v>
      </c>
      <c r="O15" s="420">
        <f t="shared" ref="O15:O23" si="3">M15+N15</f>
        <v>7595</v>
      </c>
      <c r="P15" s="470"/>
      <c r="Q15" s="469"/>
      <c r="R15" s="468">
        <v>3136</v>
      </c>
      <c r="S15" s="467">
        <f t="shared" ref="S15:S24" si="4">SUM(P15:R15)</f>
        <v>3136</v>
      </c>
      <c r="T15" s="457">
        <v>87</v>
      </c>
      <c r="U15" s="420">
        <f t="shared" ref="U15:U23" si="5">S15+T15</f>
        <v>3223</v>
      </c>
      <c r="V15" s="470"/>
      <c r="W15" s="469"/>
      <c r="X15" s="468">
        <v>8200</v>
      </c>
      <c r="Y15" s="467">
        <f t="shared" ref="Y15:Y24" si="6">SUM(V15:X15)</f>
        <v>8200</v>
      </c>
      <c r="Z15" s="457">
        <v>0</v>
      </c>
      <c r="AA15" s="420">
        <f t="shared" ref="AA15:AA23" si="7">Y15+Z15</f>
        <v>8200</v>
      </c>
      <c r="AB15" s="389">
        <f t="shared" ref="AB15:AB24" si="8">(AA15/O15)</f>
        <v>1.0796576695194207</v>
      </c>
      <c r="AC15" s="3"/>
      <c r="AD15" s="3"/>
    </row>
    <row r="16" spans="1:30" x14ac:dyDescent="0.25">
      <c r="A16" s="3"/>
      <c r="B16" s="418" t="s">
        <v>25</v>
      </c>
      <c r="C16" s="466" t="s">
        <v>26</v>
      </c>
      <c r="D16" s="465">
        <v>4704</v>
      </c>
      <c r="E16" s="455"/>
      <c r="F16" s="455"/>
      <c r="G16" s="450">
        <f t="shared" si="0"/>
        <v>4704</v>
      </c>
      <c r="H16" s="464"/>
      <c r="I16" s="420">
        <f t="shared" si="1"/>
        <v>4704</v>
      </c>
      <c r="J16" s="465">
        <v>4894</v>
      </c>
      <c r="K16" s="455"/>
      <c r="L16" s="455"/>
      <c r="M16" s="450">
        <f t="shared" si="2"/>
        <v>4894</v>
      </c>
      <c r="N16" s="464"/>
      <c r="O16" s="420">
        <f t="shared" si="3"/>
        <v>4894</v>
      </c>
      <c r="P16" s="465">
        <v>2447</v>
      </c>
      <c r="Q16" s="455"/>
      <c r="R16" s="455"/>
      <c r="S16" s="450">
        <f t="shared" si="4"/>
        <v>2447</v>
      </c>
      <c r="T16" s="464"/>
      <c r="U16" s="420">
        <f t="shared" si="5"/>
        <v>2447</v>
      </c>
      <c r="V16" s="465">
        <v>7100</v>
      </c>
      <c r="W16" s="455"/>
      <c r="X16" s="455"/>
      <c r="Y16" s="450">
        <f t="shared" si="6"/>
        <v>7100</v>
      </c>
      <c r="Z16" s="464"/>
      <c r="AA16" s="420">
        <f t="shared" si="7"/>
        <v>7100</v>
      </c>
      <c r="AB16" s="389">
        <f t="shared" si="8"/>
        <v>1.4507560277891296</v>
      </c>
      <c r="AC16" s="3"/>
      <c r="AD16" s="3"/>
    </row>
    <row r="17" spans="1:30" x14ac:dyDescent="0.25">
      <c r="A17" s="3"/>
      <c r="B17" s="418" t="s">
        <v>27</v>
      </c>
      <c r="C17" s="463" t="s">
        <v>28</v>
      </c>
      <c r="D17" s="29"/>
      <c r="E17" s="459"/>
      <c r="F17" s="459"/>
      <c r="G17" s="450">
        <f t="shared" si="0"/>
        <v>0</v>
      </c>
      <c r="H17" s="462"/>
      <c r="I17" s="420">
        <f t="shared" si="1"/>
        <v>0</v>
      </c>
      <c r="J17" s="29"/>
      <c r="K17" s="459"/>
      <c r="L17" s="459"/>
      <c r="M17" s="450">
        <f t="shared" si="2"/>
        <v>0</v>
      </c>
      <c r="N17" s="462"/>
      <c r="O17" s="420">
        <f t="shared" si="3"/>
        <v>0</v>
      </c>
      <c r="P17" s="29"/>
      <c r="Q17" s="459"/>
      <c r="R17" s="459"/>
      <c r="S17" s="450">
        <f t="shared" si="4"/>
        <v>0</v>
      </c>
      <c r="T17" s="462"/>
      <c r="U17" s="420">
        <f t="shared" si="5"/>
        <v>0</v>
      </c>
      <c r="V17" s="29"/>
      <c r="W17" s="459"/>
      <c r="X17" s="459"/>
      <c r="Y17" s="450">
        <f t="shared" si="6"/>
        <v>0</v>
      </c>
      <c r="Z17" s="462"/>
      <c r="AA17" s="420">
        <f t="shared" si="7"/>
        <v>0</v>
      </c>
      <c r="AB17" s="389" t="e">
        <f t="shared" si="8"/>
        <v>#DIV/0!</v>
      </c>
      <c r="AC17" s="3"/>
      <c r="AD17" s="3"/>
    </row>
    <row r="18" spans="1:30" x14ac:dyDescent="0.25">
      <c r="A18" s="3"/>
      <c r="B18" s="418" t="s">
        <v>29</v>
      </c>
      <c r="C18" s="461" t="s">
        <v>30</v>
      </c>
      <c r="D18" s="456"/>
      <c r="E18" s="37">
        <v>5592</v>
      </c>
      <c r="F18" s="459"/>
      <c r="G18" s="450">
        <f t="shared" si="0"/>
        <v>5592</v>
      </c>
      <c r="H18" s="457">
        <v>0</v>
      </c>
      <c r="I18" s="420">
        <f t="shared" si="1"/>
        <v>5592</v>
      </c>
      <c r="J18" s="456"/>
      <c r="K18" s="37">
        <v>4500</v>
      </c>
      <c r="L18" s="459"/>
      <c r="M18" s="450">
        <f t="shared" si="2"/>
        <v>4500</v>
      </c>
      <c r="N18" s="457">
        <v>0</v>
      </c>
      <c r="O18" s="420">
        <f t="shared" si="3"/>
        <v>4500</v>
      </c>
      <c r="P18" s="456"/>
      <c r="Q18" s="37">
        <v>2400</v>
      </c>
      <c r="R18" s="459"/>
      <c r="S18" s="450">
        <f t="shared" si="4"/>
        <v>2400</v>
      </c>
      <c r="T18" s="457">
        <v>0</v>
      </c>
      <c r="U18" s="420">
        <f t="shared" si="5"/>
        <v>2400</v>
      </c>
      <c r="V18" s="456"/>
      <c r="W18" s="37">
        <v>4500</v>
      </c>
      <c r="X18" s="459"/>
      <c r="Y18" s="450">
        <f t="shared" si="6"/>
        <v>4500</v>
      </c>
      <c r="Z18" s="457">
        <v>0</v>
      </c>
      <c r="AA18" s="420">
        <f t="shared" si="7"/>
        <v>4500</v>
      </c>
      <c r="AB18" s="389">
        <f t="shared" si="8"/>
        <v>1</v>
      </c>
      <c r="AC18" s="3"/>
      <c r="AD18" s="3"/>
    </row>
    <row r="19" spans="1:30" x14ac:dyDescent="0.25">
      <c r="A19" s="3"/>
      <c r="B19" s="418" t="s">
        <v>31</v>
      </c>
      <c r="C19" s="427" t="s">
        <v>32</v>
      </c>
      <c r="D19" s="460"/>
      <c r="E19" s="459"/>
      <c r="F19" s="37">
        <v>379</v>
      </c>
      <c r="G19" s="450">
        <f t="shared" si="0"/>
        <v>379</v>
      </c>
      <c r="H19" s="457">
        <v>0</v>
      </c>
      <c r="I19" s="420">
        <f t="shared" si="1"/>
        <v>379</v>
      </c>
      <c r="J19" s="460"/>
      <c r="K19" s="459"/>
      <c r="L19" s="37">
        <v>380</v>
      </c>
      <c r="M19" s="450">
        <f t="shared" si="2"/>
        <v>380</v>
      </c>
      <c r="N19" s="457">
        <v>0</v>
      </c>
      <c r="O19" s="420">
        <f t="shared" si="3"/>
        <v>380</v>
      </c>
      <c r="P19" s="460"/>
      <c r="Q19" s="459"/>
      <c r="R19" s="37">
        <v>190</v>
      </c>
      <c r="S19" s="450">
        <f t="shared" si="4"/>
        <v>190</v>
      </c>
      <c r="T19" s="457">
        <v>0</v>
      </c>
      <c r="U19" s="420">
        <f t="shared" si="5"/>
        <v>190</v>
      </c>
      <c r="V19" s="460"/>
      <c r="W19" s="459"/>
      <c r="X19" s="37">
        <v>380</v>
      </c>
      <c r="Y19" s="450">
        <f t="shared" si="6"/>
        <v>380</v>
      </c>
      <c r="Z19" s="457">
        <v>0</v>
      </c>
      <c r="AA19" s="420">
        <f t="shared" si="7"/>
        <v>380</v>
      </c>
      <c r="AB19" s="389">
        <f t="shared" si="8"/>
        <v>1</v>
      </c>
      <c r="AC19" s="3"/>
      <c r="AD19" s="3"/>
    </row>
    <row r="20" spans="1:30" x14ac:dyDescent="0.25">
      <c r="A20" s="3"/>
      <c r="B20" s="418" t="s">
        <v>33</v>
      </c>
      <c r="C20" s="458" t="s">
        <v>34</v>
      </c>
      <c r="D20" s="456"/>
      <c r="E20" s="455"/>
      <c r="F20" s="454">
        <v>0</v>
      </c>
      <c r="G20" s="450">
        <f t="shared" si="0"/>
        <v>0</v>
      </c>
      <c r="H20" s="457">
        <v>0</v>
      </c>
      <c r="I20" s="420">
        <f t="shared" si="1"/>
        <v>0</v>
      </c>
      <c r="J20" s="456"/>
      <c r="K20" s="455"/>
      <c r="L20" s="454">
        <v>0</v>
      </c>
      <c r="M20" s="450">
        <f t="shared" si="2"/>
        <v>0</v>
      </c>
      <c r="N20" s="457">
        <v>0</v>
      </c>
      <c r="O20" s="420">
        <f t="shared" si="3"/>
        <v>0</v>
      </c>
      <c r="P20" s="456"/>
      <c r="Q20" s="455"/>
      <c r="R20" s="454">
        <v>0</v>
      </c>
      <c r="S20" s="450">
        <f t="shared" si="4"/>
        <v>0</v>
      </c>
      <c r="T20" s="457">
        <v>0</v>
      </c>
      <c r="U20" s="420">
        <f t="shared" si="5"/>
        <v>0</v>
      </c>
      <c r="V20" s="456"/>
      <c r="W20" s="455"/>
      <c r="X20" s="454">
        <v>0</v>
      </c>
      <c r="Y20" s="450">
        <f t="shared" si="6"/>
        <v>0</v>
      </c>
      <c r="Z20" s="457">
        <v>0</v>
      </c>
      <c r="AA20" s="420">
        <f t="shared" si="7"/>
        <v>0</v>
      </c>
      <c r="AB20" s="389" t="e">
        <f t="shared" si="8"/>
        <v>#DIV/0!</v>
      </c>
      <c r="AC20" s="3"/>
      <c r="AD20" s="3"/>
    </row>
    <row r="21" spans="1:30" x14ac:dyDescent="0.25">
      <c r="A21" s="3"/>
      <c r="B21" s="418" t="s">
        <v>35</v>
      </c>
      <c r="C21" s="423" t="s">
        <v>36</v>
      </c>
      <c r="D21" s="456"/>
      <c r="E21" s="455"/>
      <c r="F21" s="454">
        <v>226</v>
      </c>
      <c r="G21" s="450">
        <f t="shared" si="0"/>
        <v>226</v>
      </c>
      <c r="H21" s="453">
        <v>0</v>
      </c>
      <c r="I21" s="420">
        <f t="shared" si="1"/>
        <v>226</v>
      </c>
      <c r="J21" s="456"/>
      <c r="K21" s="455"/>
      <c r="L21" s="454">
        <v>150</v>
      </c>
      <c r="M21" s="450">
        <f t="shared" si="2"/>
        <v>150</v>
      </c>
      <c r="N21" s="453">
        <v>0</v>
      </c>
      <c r="O21" s="420">
        <f t="shared" si="3"/>
        <v>150</v>
      </c>
      <c r="P21" s="456"/>
      <c r="Q21" s="455"/>
      <c r="R21" s="454">
        <v>15</v>
      </c>
      <c r="S21" s="450">
        <f t="shared" si="4"/>
        <v>15</v>
      </c>
      <c r="T21" s="453">
        <v>29</v>
      </c>
      <c r="U21" s="420">
        <f t="shared" si="5"/>
        <v>44</v>
      </c>
      <c r="V21" s="456"/>
      <c r="W21" s="455"/>
      <c r="X21" s="454">
        <v>150</v>
      </c>
      <c r="Y21" s="450">
        <f t="shared" si="6"/>
        <v>150</v>
      </c>
      <c r="Z21" s="453">
        <v>0</v>
      </c>
      <c r="AA21" s="420">
        <f t="shared" si="7"/>
        <v>150</v>
      </c>
      <c r="AB21" s="389">
        <f t="shared" si="8"/>
        <v>1</v>
      </c>
      <c r="AC21" s="3"/>
      <c r="AD21" s="3"/>
    </row>
    <row r="22" spans="1:30" x14ac:dyDescent="0.25">
      <c r="A22" s="3"/>
      <c r="B22" s="418" t="s">
        <v>37</v>
      </c>
      <c r="C22" s="423" t="s">
        <v>38</v>
      </c>
      <c r="D22" s="456"/>
      <c r="E22" s="455"/>
      <c r="F22" s="454">
        <v>0</v>
      </c>
      <c r="G22" s="450">
        <f t="shared" si="0"/>
        <v>0</v>
      </c>
      <c r="H22" s="453">
        <v>0</v>
      </c>
      <c r="I22" s="420">
        <f t="shared" si="1"/>
        <v>0</v>
      </c>
      <c r="J22" s="456"/>
      <c r="K22" s="455"/>
      <c r="L22" s="454">
        <v>0</v>
      </c>
      <c r="M22" s="450">
        <f t="shared" si="2"/>
        <v>0</v>
      </c>
      <c r="N22" s="453">
        <v>0</v>
      </c>
      <c r="O22" s="420">
        <f t="shared" si="3"/>
        <v>0</v>
      </c>
      <c r="P22" s="456"/>
      <c r="Q22" s="455"/>
      <c r="R22" s="454">
        <v>0</v>
      </c>
      <c r="S22" s="450">
        <f t="shared" si="4"/>
        <v>0</v>
      </c>
      <c r="T22" s="453">
        <v>0</v>
      </c>
      <c r="U22" s="420">
        <f t="shared" si="5"/>
        <v>0</v>
      </c>
      <c r="V22" s="456"/>
      <c r="W22" s="455"/>
      <c r="X22" s="454">
        <v>0</v>
      </c>
      <c r="Y22" s="450">
        <f t="shared" si="6"/>
        <v>0</v>
      </c>
      <c r="Z22" s="453">
        <v>0</v>
      </c>
      <c r="AA22" s="420">
        <f t="shared" si="7"/>
        <v>0</v>
      </c>
      <c r="AB22" s="389" t="e">
        <f t="shared" si="8"/>
        <v>#DIV/0!</v>
      </c>
      <c r="AC22" s="3"/>
      <c r="AD22" s="3"/>
    </row>
    <row r="23" spans="1:30" ht="15.75" thickBot="1" x14ac:dyDescent="0.3">
      <c r="A23" s="3"/>
      <c r="B23" s="452" t="s">
        <v>39</v>
      </c>
      <c r="C23" s="451" t="s">
        <v>40</v>
      </c>
      <c r="D23" s="449"/>
      <c r="E23" s="448"/>
      <c r="F23" s="447">
        <v>0</v>
      </c>
      <c r="G23" s="450">
        <f t="shared" si="0"/>
        <v>0</v>
      </c>
      <c r="H23" s="445">
        <v>0</v>
      </c>
      <c r="I23" s="412">
        <f t="shared" si="1"/>
        <v>0</v>
      </c>
      <c r="J23" s="449"/>
      <c r="K23" s="448"/>
      <c r="L23" s="447">
        <v>0</v>
      </c>
      <c r="M23" s="446">
        <f t="shared" si="2"/>
        <v>0</v>
      </c>
      <c r="N23" s="445">
        <v>0</v>
      </c>
      <c r="O23" s="412">
        <f t="shared" si="3"/>
        <v>0</v>
      </c>
      <c r="P23" s="449"/>
      <c r="Q23" s="448"/>
      <c r="R23" s="447">
        <v>0</v>
      </c>
      <c r="S23" s="446">
        <f t="shared" si="4"/>
        <v>0</v>
      </c>
      <c r="T23" s="445">
        <v>0</v>
      </c>
      <c r="U23" s="412">
        <f t="shared" si="5"/>
        <v>0</v>
      </c>
      <c r="V23" s="449"/>
      <c r="W23" s="448"/>
      <c r="X23" s="447">
        <v>0</v>
      </c>
      <c r="Y23" s="446">
        <f t="shared" si="6"/>
        <v>0</v>
      </c>
      <c r="Z23" s="445">
        <v>0</v>
      </c>
      <c r="AA23" s="412">
        <f t="shared" si="7"/>
        <v>0</v>
      </c>
      <c r="AB23" s="411" t="e">
        <f t="shared" si="8"/>
        <v>#DIV/0!</v>
      </c>
      <c r="AC23" s="3"/>
      <c r="AD23" s="3"/>
    </row>
    <row r="24" spans="1:30" ht="15.75" thickBot="1" x14ac:dyDescent="0.3">
      <c r="A24" s="3"/>
      <c r="B24" s="410" t="s">
        <v>41</v>
      </c>
      <c r="C24" s="444" t="s">
        <v>42</v>
      </c>
      <c r="D24" s="443">
        <f>SUM(D15:D21)</f>
        <v>4704</v>
      </c>
      <c r="E24" s="442">
        <f>SUM(E15:E21)</f>
        <v>5592</v>
      </c>
      <c r="F24" s="442">
        <f>SUM(F15:F21)</f>
        <v>10238</v>
      </c>
      <c r="G24" s="441">
        <f t="shared" si="0"/>
        <v>20534</v>
      </c>
      <c r="H24" s="440">
        <f>SUM(H15:H23)</f>
        <v>163</v>
      </c>
      <c r="I24" s="440">
        <f>SUM(I15:I21)</f>
        <v>20697</v>
      </c>
      <c r="J24" s="443">
        <f>SUM(J15:J21)</f>
        <v>4894</v>
      </c>
      <c r="K24" s="442">
        <f>SUM(K15:K21)</f>
        <v>4500</v>
      </c>
      <c r="L24" s="442">
        <f>SUM(L15:L21)</f>
        <v>8125</v>
      </c>
      <c r="M24" s="441">
        <f t="shared" si="2"/>
        <v>17519</v>
      </c>
      <c r="N24" s="440">
        <f>SUM(N15:N23)</f>
        <v>0</v>
      </c>
      <c r="O24" s="440">
        <f>SUM(O15:O21)</f>
        <v>17519</v>
      </c>
      <c r="P24" s="443">
        <f>SUM(P15:P21)</f>
        <v>2447</v>
      </c>
      <c r="Q24" s="442">
        <f>SUM(Q15:Q21)</f>
        <v>2400</v>
      </c>
      <c r="R24" s="442">
        <f>SUM(R15:R21)</f>
        <v>3341</v>
      </c>
      <c r="S24" s="441">
        <f t="shared" si="4"/>
        <v>8188</v>
      </c>
      <c r="T24" s="440">
        <f>SUM(T15:T23)</f>
        <v>116</v>
      </c>
      <c r="U24" s="440">
        <f>SUM(U15:U21)</f>
        <v>8304</v>
      </c>
      <c r="V24" s="443">
        <f>SUM(V15:V21)</f>
        <v>7100</v>
      </c>
      <c r="W24" s="442">
        <f>SUM(W15:W21)</f>
        <v>4500</v>
      </c>
      <c r="X24" s="442">
        <f>SUM(X15:X21)</f>
        <v>8730</v>
      </c>
      <c r="Y24" s="441">
        <f t="shared" si="6"/>
        <v>20330</v>
      </c>
      <c r="Z24" s="440">
        <f>SUM(Z15:Z23)</f>
        <v>0</v>
      </c>
      <c r="AA24" s="440">
        <f>SUM(AA15:AA21)</f>
        <v>20330</v>
      </c>
      <c r="AB24" s="439">
        <f t="shared" si="8"/>
        <v>1.160454363833552</v>
      </c>
      <c r="AC24" s="3"/>
      <c r="AD24" s="3"/>
    </row>
    <row r="25" spans="1:30" ht="15.75" customHeight="1" thickBot="1" x14ac:dyDescent="0.3">
      <c r="A25" s="3"/>
      <c r="B25" s="438"/>
      <c r="C25" s="437"/>
      <c r="D25" s="834" t="s">
        <v>43</v>
      </c>
      <c r="E25" s="835"/>
      <c r="F25" s="835"/>
      <c r="G25" s="836"/>
      <c r="H25" s="836"/>
      <c r="I25" s="837"/>
      <c r="J25" s="834" t="s">
        <v>43</v>
      </c>
      <c r="K25" s="835"/>
      <c r="L25" s="835"/>
      <c r="M25" s="836"/>
      <c r="N25" s="836"/>
      <c r="O25" s="837"/>
      <c r="P25" s="834" t="s">
        <v>43</v>
      </c>
      <c r="Q25" s="835"/>
      <c r="R25" s="835"/>
      <c r="S25" s="836"/>
      <c r="T25" s="836"/>
      <c r="U25" s="837"/>
      <c r="V25" s="834" t="s">
        <v>43</v>
      </c>
      <c r="W25" s="835"/>
      <c r="X25" s="835"/>
      <c r="Y25" s="836"/>
      <c r="Z25" s="836"/>
      <c r="AA25" s="837"/>
      <c r="AB25" s="842" t="s">
        <v>12</v>
      </c>
      <c r="AC25" s="3"/>
      <c r="AD25" s="3"/>
    </row>
    <row r="26" spans="1:30" ht="15.75" thickBot="1" x14ac:dyDescent="0.3">
      <c r="A26" s="3"/>
      <c r="B26" s="877" t="s">
        <v>6</v>
      </c>
      <c r="C26" s="864" t="s">
        <v>7</v>
      </c>
      <c r="D26" s="845" t="s">
        <v>44</v>
      </c>
      <c r="E26" s="846"/>
      <c r="F26" s="846"/>
      <c r="G26" s="838" t="s">
        <v>45</v>
      </c>
      <c r="H26" s="862" t="s">
        <v>46</v>
      </c>
      <c r="I26" s="847" t="s">
        <v>43</v>
      </c>
      <c r="J26" s="845" t="s">
        <v>44</v>
      </c>
      <c r="K26" s="846"/>
      <c r="L26" s="846"/>
      <c r="M26" s="838" t="s">
        <v>45</v>
      </c>
      <c r="N26" s="862" t="s">
        <v>46</v>
      </c>
      <c r="O26" s="847" t="s">
        <v>43</v>
      </c>
      <c r="P26" s="845" t="s">
        <v>44</v>
      </c>
      <c r="Q26" s="846"/>
      <c r="R26" s="846"/>
      <c r="S26" s="838" t="s">
        <v>45</v>
      </c>
      <c r="T26" s="862" t="s">
        <v>46</v>
      </c>
      <c r="U26" s="847" t="s">
        <v>43</v>
      </c>
      <c r="V26" s="845" t="s">
        <v>44</v>
      </c>
      <c r="W26" s="846"/>
      <c r="X26" s="846"/>
      <c r="Y26" s="838" t="s">
        <v>45</v>
      </c>
      <c r="Z26" s="862" t="s">
        <v>46</v>
      </c>
      <c r="AA26" s="847" t="s">
        <v>43</v>
      </c>
      <c r="AB26" s="843"/>
      <c r="AC26" s="3"/>
      <c r="AD26" s="3"/>
    </row>
    <row r="27" spans="1:30" ht="15.75" thickBot="1" x14ac:dyDescent="0.3">
      <c r="A27" s="3"/>
      <c r="B27" s="878"/>
      <c r="C27" s="865"/>
      <c r="D27" s="436" t="s">
        <v>47</v>
      </c>
      <c r="E27" s="435" t="s">
        <v>48</v>
      </c>
      <c r="F27" s="434" t="s">
        <v>49</v>
      </c>
      <c r="G27" s="839"/>
      <c r="H27" s="863"/>
      <c r="I27" s="848"/>
      <c r="J27" s="436" t="s">
        <v>47</v>
      </c>
      <c r="K27" s="435" t="s">
        <v>48</v>
      </c>
      <c r="L27" s="434" t="s">
        <v>49</v>
      </c>
      <c r="M27" s="839"/>
      <c r="N27" s="863"/>
      <c r="O27" s="848"/>
      <c r="P27" s="436" t="s">
        <v>47</v>
      </c>
      <c r="Q27" s="435" t="s">
        <v>48</v>
      </c>
      <c r="R27" s="434" t="s">
        <v>49</v>
      </c>
      <c r="S27" s="839"/>
      <c r="T27" s="863"/>
      <c r="U27" s="848"/>
      <c r="V27" s="436" t="s">
        <v>47</v>
      </c>
      <c r="W27" s="435" t="s">
        <v>48</v>
      </c>
      <c r="X27" s="434" t="s">
        <v>49</v>
      </c>
      <c r="Y27" s="839"/>
      <c r="Z27" s="863"/>
      <c r="AA27" s="848"/>
      <c r="AB27" s="844"/>
      <c r="AC27" s="3"/>
      <c r="AD27" s="3"/>
    </row>
    <row r="28" spans="1:30" x14ac:dyDescent="0.25">
      <c r="A28" s="3"/>
      <c r="B28" s="433" t="s">
        <v>50</v>
      </c>
      <c r="C28" s="432" t="s">
        <v>51</v>
      </c>
      <c r="D28" s="430">
        <v>0</v>
      </c>
      <c r="E28" s="430">
        <v>0</v>
      </c>
      <c r="F28" s="430">
        <v>408</v>
      </c>
      <c r="G28" s="429">
        <f t="shared" ref="G28:G41" si="9">SUM(D28:F28)</f>
        <v>408</v>
      </c>
      <c r="H28" s="429">
        <v>0</v>
      </c>
      <c r="I28" s="428">
        <f t="shared" ref="I28:I40" si="10">G28+H28</f>
        <v>408</v>
      </c>
      <c r="J28" s="431">
        <v>0</v>
      </c>
      <c r="K28" s="430">
        <v>0</v>
      </c>
      <c r="L28" s="430">
        <v>300</v>
      </c>
      <c r="M28" s="429">
        <f>SUM(J28:L28)</f>
        <v>300</v>
      </c>
      <c r="N28" s="429">
        <v>0</v>
      </c>
      <c r="O28" s="428">
        <f>M28+N28</f>
        <v>300</v>
      </c>
      <c r="P28" s="431">
        <v>0</v>
      </c>
      <c r="Q28" s="430">
        <v>0</v>
      </c>
      <c r="R28" s="430">
        <v>97</v>
      </c>
      <c r="S28" s="429">
        <f t="shared" ref="S28:S41" si="11">SUM(P28:R28)</f>
        <v>97</v>
      </c>
      <c r="T28" s="429">
        <v>0</v>
      </c>
      <c r="U28" s="428">
        <f t="shared" ref="U28:U40" si="12">S28+T28</f>
        <v>97</v>
      </c>
      <c r="V28" s="431">
        <v>0</v>
      </c>
      <c r="W28" s="430">
        <v>0</v>
      </c>
      <c r="X28" s="430">
        <v>200</v>
      </c>
      <c r="Y28" s="429">
        <f t="shared" ref="Y28:Y41" si="13">SUM(V28:X28)</f>
        <v>200</v>
      </c>
      <c r="Z28" s="429">
        <v>0</v>
      </c>
      <c r="AA28" s="428">
        <f>Y28+Z28</f>
        <v>200</v>
      </c>
      <c r="AB28" s="389">
        <f>(AA28/O28)</f>
        <v>0.66666666666666663</v>
      </c>
      <c r="AC28" s="3"/>
      <c r="AD28" s="3"/>
    </row>
    <row r="29" spans="1:30" x14ac:dyDescent="0.25">
      <c r="A29" s="3"/>
      <c r="B29" s="418" t="s">
        <v>52</v>
      </c>
      <c r="C29" s="423" t="s">
        <v>53</v>
      </c>
      <c r="D29" s="421">
        <v>50</v>
      </c>
      <c r="E29" s="421">
        <v>2552</v>
      </c>
      <c r="F29" s="421">
        <v>4317</v>
      </c>
      <c r="G29" s="416">
        <f t="shared" si="9"/>
        <v>6919</v>
      </c>
      <c r="H29" s="416">
        <v>14</v>
      </c>
      <c r="I29" s="420">
        <f t="shared" si="10"/>
        <v>6933</v>
      </c>
      <c r="J29" s="422">
        <v>190</v>
      </c>
      <c r="K29" s="421">
        <v>1500</v>
      </c>
      <c r="L29" s="421">
        <v>1950</v>
      </c>
      <c r="M29" s="416">
        <f>SUM(J29:L29)</f>
        <v>3640</v>
      </c>
      <c r="N29" s="416">
        <v>0</v>
      </c>
      <c r="O29" s="420">
        <f>M29+N29</f>
        <v>3640</v>
      </c>
      <c r="P29" s="422">
        <v>100</v>
      </c>
      <c r="Q29" s="421">
        <v>1384</v>
      </c>
      <c r="R29" s="421">
        <v>1870</v>
      </c>
      <c r="S29" s="416">
        <f t="shared" si="11"/>
        <v>3354</v>
      </c>
      <c r="T29" s="416">
        <v>41</v>
      </c>
      <c r="U29" s="420">
        <f t="shared" si="12"/>
        <v>3395</v>
      </c>
      <c r="V29" s="422">
        <v>1340</v>
      </c>
      <c r="W29" s="421">
        <v>1500</v>
      </c>
      <c r="X29" s="421">
        <v>2200</v>
      </c>
      <c r="Y29" s="416">
        <f t="shared" si="13"/>
        <v>5040</v>
      </c>
      <c r="Z29" s="416">
        <v>0</v>
      </c>
      <c r="AA29" s="420">
        <f>Y29+Z29</f>
        <v>5040</v>
      </c>
      <c r="AB29" s="389">
        <f>(AA29/O29)</f>
        <v>1.3846153846153846</v>
      </c>
      <c r="AC29" s="3"/>
      <c r="AD29" s="3"/>
    </row>
    <row r="30" spans="1:30" x14ac:dyDescent="0.25">
      <c r="A30" s="3"/>
      <c r="B30" s="418" t="s">
        <v>54</v>
      </c>
      <c r="C30" s="423" t="s">
        <v>55</v>
      </c>
      <c r="D30" s="421">
        <v>0</v>
      </c>
      <c r="E30" s="421">
        <v>0</v>
      </c>
      <c r="F30" s="421">
        <v>80</v>
      </c>
      <c r="G30" s="416">
        <f t="shared" si="9"/>
        <v>80</v>
      </c>
      <c r="H30" s="416">
        <v>0</v>
      </c>
      <c r="I30" s="420">
        <f t="shared" si="10"/>
        <v>80</v>
      </c>
      <c r="J30" s="422">
        <v>45</v>
      </c>
      <c r="K30" s="421">
        <v>0</v>
      </c>
      <c r="L30" s="421">
        <v>75</v>
      </c>
      <c r="M30" s="416">
        <f>SUM(J30:L30)</f>
        <v>120</v>
      </c>
      <c r="N30" s="416">
        <v>0</v>
      </c>
      <c r="O30" s="420">
        <f>M30+N30</f>
        <v>120</v>
      </c>
      <c r="P30" s="422">
        <v>0</v>
      </c>
      <c r="Q30" s="421">
        <v>0</v>
      </c>
      <c r="R30" s="421">
        <v>59</v>
      </c>
      <c r="S30" s="416">
        <f t="shared" si="11"/>
        <v>59</v>
      </c>
      <c r="T30" s="416">
        <v>0</v>
      </c>
      <c r="U30" s="420">
        <f t="shared" si="12"/>
        <v>59</v>
      </c>
      <c r="V30" s="422">
        <v>45</v>
      </c>
      <c r="W30" s="421">
        <v>0</v>
      </c>
      <c r="X30" s="421">
        <v>80</v>
      </c>
      <c r="Y30" s="416">
        <f t="shared" si="13"/>
        <v>125</v>
      </c>
      <c r="Z30" s="416">
        <v>0</v>
      </c>
      <c r="AA30" s="420">
        <f>Y30+Z30</f>
        <v>125</v>
      </c>
      <c r="AB30" s="389">
        <f>(AA30/O30)</f>
        <v>1.0416666666666667</v>
      </c>
      <c r="AC30" s="3"/>
      <c r="AD30" s="3"/>
    </row>
    <row r="31" spans="1:30" x14ac:dyDescent="0.25">
      <c r="A31" s="3"/>
      <c r="B31" s="418" t="s">
        <v>56</v>
      </c>
      <c r="C31" s="423" t="s">
        <v>151</v>
      </c>
      <c r="D31" s="421">
        <v>0</v>
      </c>
      <c r="E31" s="421">
        <v>0</v>
      </c>
      <c r="F31" s="421">
        <v>-3934</v>
      </c>
      <c r="G31" s="416">
        <f t="shared" si="9"/>
        <v>-3934</v>
      </c>
      <c r="H31" s="416">
        <v>0</v>
      </c>
      <c r="I31" s="420">
        <f t="shared" si="10"/>
        <v>-3934</v>
      </c>
      <c r="J31" s="422">
        <v>0</v>
      </c>
      <c r="K31" s="421">
        <v>0</v>
      </c>
      <c r="L31" s="421">
        <v>0</v>
      </c>
      <c r="M31" s="416"/>
      <c r="N31" s="416">
        <v>0</v>
      </c>
      <c r="O31" s="420"/>
      <c r="P31" s="422">
        <v>0</v>
      </c>
      <c r="Q31" s="421">
        <v>0</v>
      </c>
      <c r="R31" s="421">
        <v>-1308</v>
      </c>
      <c r="S31" s="416">
        <f t="shared" si="11"/>
        <v>-1308</v>
      </c>
      <c r="T31" s="416">
        <v>0</v>
      </c>
      <c r="U31" s="420">
        <f t="shared" si="12"/>
        <v>-1308</v>
      </c>
      <c r="V31" s="422">
        <v>0</v>
      </c>
      <c r="W31" s="421">
        <v>0</v>
      </c>
      <c r="X31" s="421">
        <v>0</v>
      </c>
      <c r="Y31" s="416">
        <f t="shared" si="13"/>
        <v>0</v>
      </c>
      <c r="Z31" s="416">
        <v>0</v>
      </c>
      <c r="AA31" s="420"/>
      <c r="AB31" s="389"/>
      <c r="AC31" s="3"/>
      <c r="AD31" s="3"/>
    </row>
    <row r="32" spans="1:30" x14ac:dyDescent="0.25">
      <c r="A32" s="3"/>
      <c r="B32" s="418" t="s">
        <v>58</v>
      </c>
      <c r="C32" s="423" t="s">
        <v>57</v>
      </c>
      <c r="D32" s="421">
        <v>105</v>
      </c>
      <c r="E32" s="421">
        <v>3040</v>
      </c>
      <c r="F32" s="421">
        <v>3716</v>
      </c>
      <c r="G32" s="416">
        <f t="shared" si="9"/>
        <v>6861</v>
      </c>
      <c r="H32" s="416">
        <v>0</v>
      </c>
      <c r="I32" s="420">
        <f t="shared" si="10"/>
        <v>6861</v>
      </c>
      <c r="J32" s="422">
        <v>225</v>
      </c>
      <c r="K32" s="421">
        <v>3000</v>
      </c>
      <c r="L32" s="421">
        <v>2215</v>
      </c>
      <c r="M32" s="416">
        <f t="shared" ref="M32:M41" si="14">SUM(J32:L32)</f>
        <v>5440</v>
      </c>
      <c r="N32" s="416">
        <v>0</v>
      </c>
      <c r="O32" s="420">
        <f t="shared" ref="O32:O40" si="15">M32+N32</f>
        <v>5440</v>
      </c>
      <c r="P32" s="422">
        <v>125</v>
      </c>
      <c r="Q32" s="421">
        <v>1016</v>
      </c>
      <c r="R32" s="421">
        <v>1700</v>
      </c>
      <c r="S32" s="416">
        <f t="shared" si="11"/>
        <v>2841</v>
      </c>
      <c r="T32" s="416">
        <v>0</v>
      </c>
      <c r="U32" s="420">
        <f t="shared" si="12"/>
        <v>2841</v>
      </c>
      <c r="V32" s="422">
        <v>1480</v>
      </c>
      <c r="W32" s="421">
        <v>3000</v>
      </c>
      <c r="X32" s="421">
        <v>2520</v>
      </c>
      <c r="Y32" s="416">
        <f t="shared" si="13"/>
        <v>7000</v>
      </c>
      <c r="Z32" s="416">
        <v>0</v>
      </c>
      <c r="AA32" s="420">
        <f t="shared" ref="AA32:AA40" si="16">Y32+Z32</f>
        <v>7000</v>
      </c>
      <c r="AB32" s="389">
        <f t="shared" ref="AB32:AB43" si="17">(AA32/O32)</f>
        <v>1.286764705882353</v>
      </c>
      <c r="AC32" s="3"/>
      <c r="AD32" s="3"/>
    </row>
    <row r="33" spans="1:30" x14ac:dyDescent="0.25">
      <c r="A33" s="3"/>
      <c r="B33" s="418" t="s">
        <v>60</v>
      </c>
      <c r="C33" s="423" t="s">
        <v>59</v>
      </c>
      <c r="D33" s="425">
        <v>2450</v>
      </c>
      <c r="E33" s="421">
        <v>0</v>
      </c>
      <c r="F33" s="421">
        <v>2369</v>
      </c>
      <c r="G33" s="416">
        <f t="shared" si="9"/>
        <v>4819</v>
      </c>
      <c r="H33" s="416">
        <v>41</v>
      </c>
      <c r="I33" s="420">
        <f t="shared" si="10"/>
        <v>4860</v>
      </c>
      <c r="J33" s="424">
        <v>2349</v>
      </c>
      <c r="K33" s="421">
        <v>0</v>
      </c>
      <c r="L33" s="421">
        <v>2695</v>
      </c>
      <c r="M33" s="416">
        <f t="shared" si="14"/>
        <v>5044</v>
      </c>
      <c r="N33" s="416">
        <v>0</v>
      </c>
      <c r="O33" s="420">
        <f t="shared" si="15"/>
        <v>5044</v>
      </c>
      <c r="P33" s="422">
        <v>1170</v>
      </c>
      <c r="Q33" s="421">
        <v>0</v>
      </c>
      <c r="R33" s="421">
        <v>1078</v>
      </c>
      <c r="S33" s="416">
        <f t="shared" si="11"/>
        <v>2248</v>
      </c>
      <c r="T33" s="416">
        <v>65</v>
      </c>
      <c r="U33" s="420">
        <f t="shared" si="12"/>
        <v>2313</v>
      </c>
      <c r="V33" s="424">
        <v>2350</v>
      </c>
      <c r="W33" s="421">
        <v>0</v>
      </c>
      <c r="X33" s="421">
        <v>2695</v>
      </c>
      <c r="Y33" s="416">
        <f t="shared" si="13"/>
        <v>5045</v>
      </c>
      <c r="Z33" s="416">
        <v>0</v>
      </c>
      <c r="AA33" s="420">
        <f t="shared" si="16"/>
        <v>5045</v>
      </c>
      <c r="AB33" s="389">
        <f t="shared" si="17"/>
        <v>1.0001982553528945</v>
      </c>
      <c r="AC33" s="3"/>
      <c r="AD33" s="3"/>
    </row>
    <row r="34" spans="1:30" x14ac:dyDescent="0.25">
      <c r="A34" s="3"/>
      <c r="B34" s="418" t="s">
        <v>62</v>
      </c>
      <c r="C34" s="427" t="s">
        <v>61</v>
      </c>
      <c r="D34" s="425">
        <v>2450</v>
      </c>
      <c r="E34" s="421">
        <v>0</v>
      </c>
      <c r="F34" s="421">
        <v>2180</v>
      </c>
      <c r="G34" s="416">
        <f t="shared" si="9"/>
        <v>4630</v>
      </c>
      <c r="H34" s="416">
        <v>41</v>
      </c>
      <c r="I34" s="420">
        <f t="shared" si="10"/>
        <v>4671</v>
      </c>
      <c r="J34" s="424">
        <v>2349</v>
      </c>
      <c r="K34" s="421">
        <v>0</v>
      </c>
      <c r="L34" s="421">
        <v>2395</v>
      </c>
      <c r="M34" s="416">
        <f t="shared" si="14"/>
        <v>4744</v>
      </c>
      <c r="N34" s="416">
        <v>0</v>
      </c>
      <c r="O34" s="420">
        <f t="shared" si="15"/>
        <v>4744</v>
      </c>
      <c r="P34" s="422">
        <v>1170</v>
      </c>
      <c r="Q34" s="421">
        <v>0</v>
      </c>
      <c r="R34" s="421">
        <v>1013</v>
      </c>
      <c r="S34" s="416">
        <f t="shared" si="11"/>
        <v>2183</v>
      </c>
      <c r="T34" s="416">
        <v>65</v>
      </c>
      <c r="U34" s="420">
        <f t="shared" si="12"/>
        <v>2248</v>
      </c>
      <c r="V34" s="424">
        <v>2350</v>
      </c>
      <c r="W34" s="421">
        <v>0</v>
      </c>
      <c r="X34" s="421">
        <v>2395</v>
      </c>
      <c r="Y34" s="416">
        <f t="shared" si="13"/>
        <v>4745</v>
      </c>
      <c r="Z34" s="416">
        <v>0</v>
      </c>
      <c r="AA34" s="420">
        <f t="shared" si="16"/>
        <v>4745</v>
      </c>
      <c r="AB34" s="389">
        <f t="shared" si="17"/>
        <v>1.0002107925801011</v>
      </c>
      <c r="AC34" s="3"/>
      <c r="AD34" s="3"/>
    </row>
    <row r="35" spans="1:30" x14ac:dyDescent="0.25">
      <c r="A35" s="3"/>
      <c r="B35" s="418" t="s">
        <v>64</v>
      </c>
      <c r="C35" s="426" t="s">
        <v>63</v>
      </c>
      <c r="D35" s="425">
        <v>0</v>
      </c>
      <c r="E35" s="421">
        <v>0</v>
      </c>
      <c r="F35" s="421">
        <v>189</v>
      </c>
      <c r="G35" s="416">
        <f t="shared" si="9"/>
        <v>189</v>
      </c>
      <c r="H35" s="416">
        <v>0</v>
      </c>
      <c r="I35" s="420">
        <f t="shared" si="10"/>
        <v>189</v>
      </c>
      <c r="J35" s="424">
        <v>0</v>
      </c>
      <c r="K35" s="421">
        <v>0</v>
      </c>
      <c r="L35" s="421">
        <v>300</v>
      </c>
      <c r="M35" s="416">
        <f t="shared" si="14"/>
        <v>300</v>
      </c>
      <c r="N35" s="416">
        <v>0</v>
      </c>
      <c r="O35" s="420">
        <f t="shared" si="15"/>
        <v>300</v>
      </c>
      <c r="P35" s="424">
        <v>0</v>
      </c>
      <c r="Q35" s="421">
        <v>0</v>
      </c>
      <c r="R35" s="421">
        <v>65</v>
      </c>
      <c r="S35" s="416">
        <f t="shared" si="11"/>
        <v>65</v>
      </c>
      <c r="T35" s="416">
        <v>0</v>
      </c>
      <c r="U35" s="420">
        <f t="shared" si="12"/>
        <v>65</v>
      </c>
      <c r="V35" s="424">
        <v>0</v>
      </c>
      <c r="W35" s="421">
        <v>0</v>
      </c>
      <c r="X35" s="421">
        <v>300</v>
      </c>
      <c r="Y35" s="416">
        <f t="shared" si="13"/>
        <v>300</v>
      </c>
      <c r="Z35" s="416">
        <v>0</v>
      </c>
      <c r="AA35" s="420">
        <f t="shared" si="16"/>
        <v>300</v>
      </c>
      <c r="AB35" s="389">
        <f t="shared" si="17"/>
        <v>1</v>
      </c>
      <c r="AC35" s="3"/>
      <c r="AD35" s="3"/>
    </row>
    <row r="36" spans="1:30" x14ac:dyDescent="0.25">
      <c r="A36" s="3"/>
      <c r="B36" s="418" t="s">
        <v>66</v>
      </c>
      <c r="C36" s="423" t="s">
        <v>65</v>
      </c>
      <c r="D36" s="425">
        <v>833</v>
      </c>
      <c r="E36" s="421">
        <v>0</v>
      </c>
      <c r="F36" s="421">
        <v>748</v>
      </c>
      <c r="G36" s="416">
        <f t="shared" si="9"/>
        <v>1581</v>
      </c>
      <c r="H36" s="416">
        <v>14</v>
      </c>
      <c r="I36" s="420">
        <f t="shared" si="10"/>
        <v>1595</v>
      </c>
      <c r="J36" s="424">
        <v>820</v>
      </c>
      <c r="K36" s="421">
        <v>0</v>
      </c>
      <c r="L36" s="421">
        <v>890</v>
      </c>
      <c r="M36" s="416">
        <f t="shared" si="14"/>
        <v>1710</v>
      </c>
      <c r="N36" s="416">
        <v>0</v>
      </c>
      <c r="O36" s="420">
        <f t="shared" si="15"/>
        <v>1710</v>
      </c>
      <c r="P36" s="424">
        <v>400</v>
      </c>
      <c r="Q36" s="421">
        <v>0</v>
      </c>
      <c r="R36" s="421">
        <v>330</v>
      </c>
      <c r="S36" s="416">
        <f t="shared" si="11"/>
        <v>730</v>
      </c>
      <c r="T36" s="416">
        <v>22</v>
      </c>
      <c r="U36" s="420">
        <f t="shared" si="12"/>
        <v>752</v>
      </c>
      <c r="V36" s="424">
        <v>825</v>
      </c>
      <c r="W36" s="421">
        <v>0</v>
      </c>
      <c r="X36" s="421">
        <v>890</v>
      </c>
      <c r="Y36" s="416">
        <f t="shared" si="13"/>
        <v>1715</v>
      </c>
      <c r="Z36" s="416">
        <v>0</v>
      </c>
      <c r="AA36" s="420">
        <f t="shared" si="16"/>
        <v>1715</v>
      </c>
      <c r="AB36" s="389">
        <f t="shared" si="17"/>
        <v>1.0029239766081872</v>
      </c>
      <c r="AC36" s="3"/>
      <c r="AD36" s="3"/>
    </row>
    <row r="37" spans="1:30" x14ac:dyDescent="0.25">
      <c r="A37" s="3"/>
      <c r="B37" s="418" t="s">
        <v>68</v>
      </c>
      <c r="C37" s="423" t="s">
        <v>67</v>
      </c>
      <c r="D37" s="421">
        <v>0</v>
      </c>
      <c r="E37" s="421">
        <v>0</v>
      </c>
      <c r="F37" s="421">
        <v>13</v>
      </c>
      <c r="G37" s="416">
        <f t="shared" si="9"/>
        <v>13</v>
      </c>
      <c r="H37" s="416">
        <v>0</v>
      </c>
      <c r="I37" s="420">
        <f t="shared" si="10"/>
        <v>13</v>
      </c>
      <c r="J37" s="422">
        <v>0</v>
      </c>
      <c r="K37" s="421">
        <v>0</v>
      </c>
      <c r="L37" s="421">
        <v>0</v>
      </c>
      <c r="M37" s="416">
        <f t="shared" si="14"/>
        <v>0</v>
      </c>
      <c r="N37" s="416">
        <v>0</v>
      </c>
      <c r="O37" s="420">
        <f t="shared" si="15"/>
        <v>0</v>
      </c>
      <c r="P37" s="422">
        <v>0</v>
      </c>
      <c r="Q37" s="421">
        <v>0</v>
      </c>
      <c r="R37" s="421">
        <v>3</v>
      </c>
      <c r="S37" s="416">
        <f t="shared" si="11"/>
        <v>3</v>
      </c>
      <c r="T37" s="416">
        <v>0</v>
      </c>
      <c r="U37" s="420">
        <f t="shared" si="12"/>
        <v>3</v>
      </c>
      <c r="V37" s="422">
        <v>0</v>
      </c>
      <c r="W37" s="421">
        <v>0</v>
      </c>
      <c r="X37" s="421">
        <v>0</v>
      </c>
      <c r="Y37" s="416">
        <f t="shared" si="13"/>
        <v>0</v>
      </c>
      <c r="Z37" s="416">
        <v>0</v>
      </c>
      <c r="AA37" s="420">
        <f t="shared" si="16"/>
        <v>0</v>
      </c>
      <c r="AB37" s="389" t="e">
        <f t="shared" si="17"/>
        <v>#DIV/0!</v>
      </c>
      <c r="AC37" s="3"/>
      <c r="AD37" s="3"/>
    </row>
    <row r="38" spans="1:30" x14ac:dyDescent="0.25">
      <c r="A38" s="3"/>
      <c r="B38" s="418" t="s">
        <v>70</v>
      </c>
      <c r="C38" s="423" t="s">
        <v>69</v>
      </c>
      <c r="D38" s="421">
        <v>1184</v>
      </c>
      <c r="E38" s="421">
        <v>0</v>
      </c>
      <c r="F38" s="421">
        <v>0</v>
      </c>
      <c r="G38" s="416">
        <f t="shared" si="9"/>
        <v>1184</v>
      </c>
      <c r="H38" s="416">
        <v>0</v>
      </c>
      <c r="I38" s="420">
        <f t="shared" si="10"/>
        <v>1184</v>
      </c>
      <c r="J38" s="422">
        <v>1165</v>
      </c>
      <c r="K38" s="421">
        <v>0</v>
      </c>
      <c r="L38" s="421">
        <v>0</v>
      </c>
      <c r="M38" s="416">
        <f t="shared" si="14"/>
        <v>1165</v>
      </c>
      <c r="N38" s="416">
        <v>0</v>
      </c>
      <c r="O38" s="420">
        <f t="shared" si="15"/>
        <v>1165</v>
      </c>
      <c r="P38" s="422">
        <v>441</v>
      </c>
      <c r="Q38" s="421">
        <v>0</v>
      </c>
      <c r="R38" s="421">
        <v>0</v>
      </c>
      <c r="S38" s="416">
        <f t="shared" si="11"/>
        <v>441</v>
      </c>
      <c r="T38" s="416">
        <v>0</v>
      </c>
      <c r="U38" s="420">
        <f t="shared" si="12"/>
        <v>441</v>
      </c>
      <c r="V38" s="422">
        <v>960</v>
      </c>
      <c r="W38" s="421">
        <v>0</v>
      </c>
      <c r="X38" s="421">
        <v>0</v>
      </c>
      <c r="Y38" s="416">
        <f t="shared" si="13"/>
        <v>960</v>
      </c>
      <c r="Z38" s="416">
        <v>0</v>
      </c>
      <c r="AA38" s="420">
        <f t="shared" si="16"/>
        <v>960</v>
      </c>
      <c r="AB38" s="389">
        <f t="shared" si="17"/>
        <v>0.82403433476394849</v>
      </c>
      <c r="AC38" s="3"/>
      <c r="AD38" s="3"/>
    </row>
    <row r="39" spans="1:30" x14ac:dyDescent="0.25">
      <c r="A39" s="3"/>
      <c r="B39" s="418" t="s">
        <v>150</v>
      </c>
      <c r="C39" s="417" t="s">
        <v>149</v>
      </c>
      <c r="D39" s="414">
        <v>0</v>
      </c>
      <c r="E39" s="414">
        <v>0</v>
      </c>
      <c r="F39" s="414">
        <v>653</v>
      </c>
      <c r="G39" s="416">
        <f t="shared" si="9"/>
        <v>653</v>
      </c>
      <c r="H39" s="413">
        <v>0</v>
      </c>
      <c r="I39" s="412">
        <f t="shared" si="10"/>
        <v>653</v>
      </c>
      <c r="J39" s="415">
        <v>0</v>
      </c>
      <c r="K39" s="414">
        <v>0</v>
      </c>
      <c r="L39" s="414">
        <v>0</v>
      </c>
      <c r="M39" s="413">
        <f t="shared" si="14"/>
        <v>0</v>
      </c>
      <c r="N39" s="413">
        <v>0</v>
      </c>
      <c r="O39" s="419">
        <f t="shared" si="15"/>
        <v>0</v>
      </c>
      <c r="P39" s="415">
        <v>0</v>
      </c>
      <c r="Q39" s="414">
        <v>0</v>
      </c>
      <c r="R39" s="414">
        <v>0</v>
      </c>
      <c r="S39" s="413">
        <f t="shared" si="11"/>
        <v>0</v>
      </c>
      <c r="T39" s="413">
        <v>0</v>
      </c>
      <c r="U39" s="412">
        <f t="shared" si="12"/>
        <v>0</v>
      </c>
      <c r="V39" s="415">
        <v>0</v>
      </c>
      <c r="W39" s="414">
        <v>0</v>
      </c>
      <c r="X39" s="414">
        <v>0</v>
      </c>
      <c r="Y39" s="413">
        <f t="shared" si="13"/>
        <v>0</v>
      </c>
      <c r="Z39" s="413">
        <v>0</v>
      </c>
      <c r="AA39" s="412">
        <f t="shared" si="16"/>
        <v>0</v>
      </c>
      <c r="AB39" s="411" t="e">
        <f t="shared" si="17"/>
        <v>#DIV/0!</v>
      </c>
      <c r="AC39" s="3"/>
      <c r="AD39" s="3"/>
    </row>
    <row r="40" spans="1:30" ht="15.75" thickBot="1" x14ac:dyDescent="0.3">
      <c r="A40" s="3"/>
      <c r="B40" s="418" t="s">
        <v>72</v>
      </c>
      <c r="C40" s="417" t="s">
        <v>71</v>
      </c>
      <c r="D40" s="414">
        <v>82</v>
      </c>
      <c r="E40" s="414">
        <v>0</v>
      </c>
      <c r="F40" s="414">
        <v>1823</v>
      </c>
      <c r="G40" s="416">
        <f t="shared" si="9"/>
        <v>1905</v>
      </c>
      <c r="H40" s="413">
        <v>0</v>
      </c>
      <c r="I40" s="412">
        <f t="shared" si="10"/>
        <v>1905</v>
      </c>
      <c r="J40" s="415">
        <v>100</v>
      </c>
      <c r="K40" s="414">
        <v>0</v>
      </c>
      <c r="L40" s="414">
        <v>0</v>
      </c>
      <c r="M40" s="413">
        <f t="shared" si="14"/>
        <v>100</v>
      </c>
      <c r="N40" s="413">
        <v>0</v>
      </c>
      <c r="O40" s="412">
        <f t="shared" si="15"/>
        <v>100</v>
      </c>
      <c r="P40" s="415">
        <v>211</v>
      </c>
      <c r="Q40" s="414">
        <v>0</v>
      </c>
      <c r="R40" s="414">
        <v>705</v>
      </c>
      <c r="S40" s="413">
        <f t="shared" si="11"/>
        <v>916</v>
      </c>
      <c r="T40" s="413">
        <v>0</v>
      </c>
      <c r="U40" s="412">
        <f t="shared" si="12"/>
        <v>916</v>
      </c>
      <c r="V40" s="415">
        <v>100</v>
      </c>
      <c r="W40" s="414">
        <v>0</v>
      </c>
      <c r="X40" s="414">
        <v>145</v>
      </c>
      <c r="Y40" s="413">
        <f t="shared" si="13"/>
        <v>245</v>
      </c>
      <c r="Z40" s="413">
        <v>0</v>
      </c>
      <c r="AA40" s="412">
        <f t="shared" si="16"/>
        <v>245</v>
      </c>
      <c r="AB40" s="411">
        <f t="shared" si="17"/>
        <v>2.4500000000000002</v>
      </c>
      <c r="AC40" s="3"/>
      <c r="AD40" s="3"/>
    </row>
    <row r="41" spans="1:30" ht="15.75" thickBot="1" x14ac:dyDescent="0.3">
      <c r="A41" s="3"/>
      <c r="B41" s="410" t="s">
        <v>148</v>
      </c>
      <c r="C41" s="409" t="s">
        <v>73</v>
      </c>
      <c r="D41" s="408">
        <f>SUM(D36:D40)+SUM(D28:D33)</f>
        <v>4704</v>
      </c>
      <c r="E41" s="408">
        <f>SUM(E36:E40)+SUM(E28:E33)</f>
        <v>5592</v>
      </c>
      <c r="F41" s="408">
        <f>SUM(F36:F40)+SUM(F28:F33)</f>
        <v>10193</v>
      </c>
      <c r="G41" s="407">
        <f t="shared" si="9"/>
        <v>20489</v>
      </c>
      <c r="H41" s="406">
        <f>SUM(H28:H33)+SUM(H36:H40)</f>
        <v>69</v>
      </c>
      <c r="I41" s="405">
        <f>SUM(I36:I40)+SUM(I28:I33)</f>
        <v>20558</v>
      </c>
      <c r="J41" s="408">
        <f>SUM(J36:J40)+SUM(J28:J33)</f>
        <v>4894</v>
      </c>
      <c r="K41" s="408">
        <f>SUM(K36:K40)+SUM(K28:K33)</f>
        <v>4500</v>
      </c>
      <c r="L41" s="408">
        <f>SUM(L36:L40)+SUM(L28:L33)</f>
        <v>8125</v>
      </c>
      <c r="M41" s="407">
        <f t="shared" si="14"/>
        <v>17519</v>
      </c>
      <c r="N41" s="406">
        <f>SUM(N28:N33)+SUM(N36:N40)</f>
        <v>0</v>
      </c>
      <c r="O41" s="405">
        <f>SUM(O36:O40)+SUM(O28:O33)</f>
        <v>17519</v>
      </c>
      <c r="P41" s="408">
        <f>SUM(P36:P40)+SUM(P28:P33)</f>
        <v>2447</v>
      </c>
      <c r="Q41" s="408">
        <f>SUM(Q36:Q40)+SUM(Q28:Q33)</f>
        <v>2400</v>
      </c>
      <c r="R41" s="408">
        <f>SUM(R36:R40)+SUM(R28:R33)</f>
        <v>4534</v>
      </c>
      <c r="S41" s="407">
        <f t="shared" si="11"/>
        <v>9381</v>
      </c>
      <c r="T41" s="406">
        <f>SUM(T28:T33)+SUM(T36:T40)</f>
        <v>128</v>
      </c>
      <c r="U41" s="405">
        <f>SUM(U36:U40)+SUM(U28:U33)</f>
        <v>9509</v>
      </c>
      <c r="V41" s="408">
        <f>SUM(V36:V40)+SUM(V28:V33)</f>
        <v>7100</v>
      </c>
      <c r="W41" s="408">
        <f>SUM(W36:W40)+SUM(W28:W33)</f>
        <v>4500</v>
      </c>
      <c r="X41" s="408">
        <f>SUM(X36:X40)+SUM(X28:X33)</f>
        <v>8730</v>
      </c>
      <c r="Y41" s="407">
        <f t="shared" si="13"/>
        <v>20330</v>
      </c>
      <c r="Z41" s="406">
        <f>SUM(Z28:Z33)+SUM(Z36:Z40)</f>
        <v>0</v>
      </c>
      <c r="AA41" s="405">
        <f>SUM(AA36:AA40)+SUM(AA28:AA33)</f>
        <v>20330</v>
      </c>
      <c r="AB41" s="404">
        <f t="shared" si="17"/>
        <v>1.160454363833552</v>
      </c>
      <c r="AC41" s="3"/>
      <c r="AD41" s="3"/>
    </row>
    <row r="42" spans="1:30" ht="19.5" thickBot="1" x14ac:dyDescent="0.35">
      <c r="A42" s="3"/>
      <c r="B42" s="403" t="s">
        <v>74</v>
      </c>
      <c r="C42" s="402" t="s">
        <v>75</v>
      </c>
      <c r="D42" s="401">
        <f t="shared" ref="D42:AA42" si="18">D24-D41</f>
        <v>0</v>
      </c>
      <c r="E42" s="401">
        <f t="shared" si="18"/>
        <v>0</v>
      </c>
      <c r="F42" s="401">
        <f t="shared" si="18"/>
        <v>45</v>
      </c>
      <c r="G42" s="400">
        <f t="shared" si="18"/>
        <v>45</v>
      </c>
      <c r="H42" s="400">
        <f t="shared" si="18"/>
        <v>94</v>
      </c>
      <c r="I42" s="399">
        <f t="shared" si="18"/>
        <v>139</v>
      </c>
      <c r="J42" s="401">
        <f t="shared" si="18"/>
        <v>0</v>
      </c>
      <c r="K42" s="401">
        <f t="shared" si="18"/>
        <v>0</v>
      </c>
      <c r="L42" s="401">
        <f t="shared" si="18"/>
        <v>0</v>
      </c>
      <c r="M42" s="400">
        <f t="shared" si="18"/>
        <v>0</v>
      </c>
      <c r="N42" s="400">
        <f t="shared" si="18"/>
        <v>0</v>
      </c>
      <c r="O42" s="399">
        <f t="shared" si="18"/>
        <v>0</v>
      </c>
      <c r="P42" s="401">
        <f t="shared" si="18"/>
        <v>0</v>
      </c>
      <c r="Q42" s="401">
        <f t="shared" si="18"/>
        <v>0</v>
      </c>
      <c r="R42" s="401">
        <f t="shared" si="18"/>
        <v>-1193</v>
      </c>
      <c r="S42" s="400">
        <f t="shared" si="18"/>
        <v>-1193</v>
      </c>
      <c r="T42" s="400">
        <f t="shared" si="18"/>
        <v>-12</v>
      </c>
      <c r="U42" s="399">
        <f t="shared" si="18"/>
        <v>-1205</v>
      </c>
      <c r="V42" s="401">
        <f t="shared" si="18"/>
        <v>0</v>
      </c>
      <c r="W42" s="401">
        <f t="shared" si="18"/>
        <v>0</v>
      </c>
      <c r="X42" s="401">
        <f t="shared" si="18"/>
        <v>0</v>
      </c>
      <c r="Y42" s="400">
        <f t="shared" si="18"/>
        <v>0</v>
      </c>
      <c r="Z42" s="400">
        <f t="shared" si="18"/>
        <v>0</v>
      </c>
      <c r="AA42" s="399">
        <f t="shared" si="18"/>
        <v>0</v>
      </c>
      <c r="AB42" s="398" t="e">
        <f t="shared" si="17"/>
        <v>#DIV/0!</v>
      </c>
      <c r="AC42" s="3"/>
      <c r="AD42" s="3"/>
    </row>
    <row r="43" spans="1:30" ht="15.75" thickBot="1" x14ac:dyDescent="0.3">
      <c r="A43" s="3"/>
      <c r="B43" s="397" t="s">
        <v>76</v>
      </c>
      <c r="C43" s="396" t="s">
        <v>77</v>
      </c>
      <c r="D43" s="394"/>
      <c r="E43" s="393"/>
      <c r="F43" s="393"/>
      <c r="G43" s="392"/>
      <c r="H43" s="395"/>
      <c r="I43" s="390">
        <f>I42-D16</f>
        <v>-4565</v>
      </c>
      <c r="J43" s="394"/>
      <c r="K43" s="393"/>
      <c r="L43" s="393"/>
      <c r="M43" s="392"/>
      <c r="N43" s="391"/>
      <c r="O43" s="390">
        <f>O42-J16</f>
        <v>-4894</v>
      </c>
      <c r="P43" s="394"/>
      <c r="Q43" s="393"/>
      <c r="R43" s="393"/>
      <c r="S43" s="392"/>
      <c r="T43" s="391"/>
      <c r="U43" s="390">
        <f>U42-P16</f>
        <v>-3652</v>
      </c>
      <c r="V43" s="394"/>
      <c r="W43" s="393"/>
      <c r="X43" s="393"/>
      <c r="Y43" s="392"/>
      <c r="Z43" s="391"/>
      <c r="AA43" s="390">
        <f>AA42-V16</f>
        <v>-7100</v>
      </c>
      <c r="AB43" s="389">
        <f t="shared" si="17"/>
        <v>1.4507560277891296</v>
      </c>
      <c r="AC43" s="3"/>
      <c r="AD43" s="3"/>
    </row>
    <row r="44" spans="1:30" ht="8.25" customHeight="1" thickBot="1" x14ac:dyDescent="0.3">
      <c r="A44" s="3"/>
      <c r="B44" s="382"/>
      <c r="C44" s="370"/>
      <c r="D44" s="388"/>
      <c r="E44" s="369"/>
      <c r="F44" s="369"/>
      <c r="G44" s="3"/>
      <c r="H44" s="369"/>
      <c r="I44" s="369"/>
      <c r="J44" s="388"/>
      <c r="K44" s="369"/>
      <c r="L44" s="369"/>
      <c r="M44" s="3"/>
      <c r="N44" s="369"/>
      <c r="O44" s="369"/>
      <c r="P44" s="369"/>
      <c r="Q44" s="369"/>
      <c r="R44" s="369"/>
      <c r="S44" s="369"/>
      <c r="T44" s="369"/>
      <c r="U44" s="369"/>
      <c r="V44" s="3"/>
      <c r="W44" s="3"/>
      <c r="X44" s="3"/>
      <c r="Y44" s="3"/>
      <c r="Z44" s="3"/>
      <c r="AA44" s="3"/>
      <c r="AB44" s="3"/>
      <c r="AC44" s="3"/>
      <c r="AD44" s="3"/>
    </row>
    <row r="45" spans="1:30" ht="15.75" customHeight="1" thickBot="1" x14ac:dyDescent="0.3">
      <c r="A45" s="3"/>
      <c r="B45" s="382"/>
      <c r="C45" s="873" t="s">
        <v>78</v>
      </c>
      <c r="D45" s="112" t="s">
        <v>79</v>
      </c>
      <c r="E45" s="387" t="s">
        <v>80</v>
      </c>
      <c r="F45" s="386" t="s">
        <v>81</v>
      </c>
      <c r="G45" s="369"/>
      <c r="H45" s="369"/>
      <c r="I45" s="368"/>
      <c r="J45" s="112" t="s">
        <v>79</v>
      </c>
      <c r="K45" s="387" t="s">
        <v>80</v>
      </c>
      <c r="L45" s="386" t="s">
        <v>81</v>
      </c>
      <c r="M45" s="369"/>
      <c r="N45" s="369"/>
      <c r="O45" s="369"/>
      <c r="P45" s="112" t="s">
        <v>79</v>
      </c>
      <c r="Q45" s="387" t="s">
        <v>80</v>
      </c>
      <c r="R45" s="386" t="s">
        <v>81</v>
      </c>
      <c r="S45" s="3"/>
      <c r="T45" s="3"/>
      <c r="U45" s="3"/>
      <c r="V45" s="112" t="s">
        <v>79</v>
      </c>
      <c r="W45" s="387" t="s">
        <v>80</v>
      </c>
      <c r="X45" s="386" t="s">
        <v>81</v>
      </c>
      <c r="Y45" s="3"/>
      <c r="Z45" s="3"/>
      <c r="AA45" s="3"/>
      <c r="AB45" s="3"/>
      <c r="AC45" s="3"/>
      <c r="AD45" s="3"/>
    </row>
    <row r="46" spans="1:30" ht="15.75" thickBot="1" x14ac:dyDescent="0.3">
      <c r="A46" s="3"/>
      <c r="B46" s="382"/>
      <c r="C46" s="874"/>
      <c r="D46" s="378"/>
      <c r="E46" s="385"/>
      <c r="F46" s="384">
        <v>0</v>
      </c>
      <c r="G46" s="369"/>
      <c r="H46" s="369"/>
      <c r="I46" s="368"/>
      <c r="J46" s="378"/>
      <c r="K46" s="385"/>
      <c r="L46" s="384">
        <v>0</v>
      </c>
      <c r="M46" s="383"/>
      <c r="N46" s="383"/>
      <c r="O46" s="383"/>
      <c r="P46" s="378"/>
      <c r="Q46" s="385"/>
      <c r="R46" s="384">
        <v>0</v>
      </c>
      <c r="S46" s="3"/>
      <c r="T46" s="3"/>
      <c r="U46" s="3"/>
      <c r="V46" s="378"/>
      <c r="W46" s="385"/>
      <c r="X46" s="384">
        <v>0</v>
      </c>
      <c r="Y46" s="3"/>
      <c r="Z46" s="3"/>
      <c r="AA46" s="3"/>
      <c r="AB46" s="3"/>
      <c r="AC46" s="3"/>
      <c r="AD46" s="3"/>
    </row>
    <row r="47" spans="1:30" ht="8.25" customHeight="1" thickBot="1" x14ac:dyDescent="0.3">
      <c r="A47" s="3"/>
      <c r="B47" s="382"/>
      <c r="C47" s="370"/>
      <c r="D47" s="383"/>
      <c r="E47" s="369"/>
      <c r="F47" s="369"/>
      <c r="G47" s="369"/>
      <c r="H47" s="369"/>
      <c r="I47" s="368"/>
      <c r="J47" s="369"/>
      <c r="K47" s="369"/>
      <c r="L47" s="369"/>
      <c r="M47" s="369"/>
      <c r="N47" s="369"/>
      <c r="O47" s="368"/>
      <c r="P47" s="368"/>
      <c r="Q47" s="368"/>
      <c r="R47" s="368"/>
      <c r="S47" s="368"/>
      <c r="T47" s="368"/>
      <c r="U47" s="368"/>
      <c r="V47" s="3"/>
      <c r="W47" s="3"/>
      <c r="X47" s="3"/>
      <c r="Y47" s="3"/>
      <c r="Z47" s="3"/>
      <c r="AA47" s="3"/>
      <c r="AB47" s="3"/>
      <c r="AC47" s="3"/>
      <c r="AD47" s="3"/>
    </row>
    <row r="48" spans="1:30" ht="37.5" customHeight="1" thickBot="1" x14ac:dyDescent="0.3">
      <c r="A48" s="3"/>
      <c r="B48" s="382"/>
      <c r="C48" s="873" t="s">
        <v>82</v>
      </c>
      <c r="D48" s="120" t="s">
        <v>83</v>
      </c>
      <c r="E48" s="380" t="s">
        <v>84</v>
      </c>
      <c r="F48" s="369"/>
      <c r="G48" s="369"/>
      <c r="H48" s="369"/>
      <c r="I48" s="368"/>
      <c r="J48" s="120" t="s">
        <v>83</v>
      </c>
      <c r="K48" s="380" t="s">
        <v>84</v>
      </c>
      <c r="L48" s="381"/>
      <c r="M48" s="381"/>
      <c r="N48" s="3"/>
      <c r="O48" s="3"/>
      <c r="P48" s="120" t="s">
        <v>83</v>
      </c>
      <c r="Q48" s="380" t="s">
        <v>84</v>
      </c>
      <c r="R48" s="3"/>
      <c r="S48" s="3"/>
      <c r="T48" s="3"/>
      <c r="U48" s="3"/>
      <c r="V48" s="120" t="s">
        <v>83</v>
      </c>
      <c r="W48" s="380" t="s">
        <v>84</v>
      </c>
      <c r="X48" s="3"/>
      <c r="Y48" s="3"/>
      <c r="Z48" s="3"/>
      <c r="AA48" s="3"/>
      <c r="AB48" s="3"/>
      <c r="AC48" s="3"/>
      <c r="AD48" s="3"/>
    </row>
    <row r="49" spans="1:30" ht="15.75" thickBot="1" x14ac:dyDescent="0.3">
      <c r="A49" s="3"/>
      <c r="B49" s="371"/>
      <c r="C49" s="875"/>
      <c r="D49" s="378">
        <v>0</v>
      </c>
      <c r="E49" s="377">
        <v>0</v>
      </c>
      <c r="F49" s="369"/>
      <c r="G49" s="369"/>
      <c r="H49" s="369"/>
      <c r="I49" s="368"/>
      <c r="J49" s="378">
        <v>0</v>
      </c>
      <c r="K49" s="377">
        <v>0</v>
      </c>
      <c r="L49" s="379"/>
      <c r="M49" s="379"/>
      <c r="N49" s="3"/>
      <c r="O49" s="3"/>
      <c r="P49" s="378">
        <v>0</v>
      </c>
      <c r="Q49" s="377">
        <v>0</v>
      </c>
      <c r="R49" s="3"/>
      <c r="S49" s="3"/>
      <c r="T49" s="3"/>
      <c r="U49" s="3"/>
      <c r="V49" s="378">
        <v>0</v>
      </c>
      <c r="W49" s="377">
        <v>0</v>
      </c>
      <c r="X49" s="3"/>
      <c r="Y49" s="3"/>
      <c r="Z49" s="3"/>
      <c r="AA49" s="3"/>
      <c r="AB49" s="3"/>
      <c r="AC49" s="3"/>
      <c r="AD49" s="3"/>
    </row>
    <row r="50" spans="1:30" x14ac:dyDescent="0.25">
      <c r="A50" s="3"/>
      <c r="B50" s="371"/>
      <c r="C50" s="370"/>
      <c r="D50" s="369"/>
      <c r="E50" s="369"/>
      <c r="F50" s="369"/>
      <c r="G50" s="369"/>
      <c r="H50" s="369"/>
      <c r="I50" s="368"/>
      <c r="J50" s="369"/>
      <c r="K50" s="369"/>
      <c r="L50" s="369"/>
      <c r="M50" s="369"/>
      <c r="N50" s="369"/>
      <c r="O50" s="368"/>
      <c r="P50" s="368"/>
      <c r="Q50" s="368"/>
      <c r="R50" s="368"/>
      <c r="S50" s="368"/>
      <c r="T50" s="368"/>
      <c r="U50" s="368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3"/>
      <c r="B51" s="371"/>
      <c r="C51" s="375" t="s">
        <v>85</v>
      </c>
      <c r="D51" s="374" t="s">
        <v>86</v>
      </c>
      <c r="E51" s="374" t="s">
        <v>87</v>
      </c>
      <c r="F51" s="374" t="s">
        <v>88</v>
      </c>
      <c r="G51" s="374" t="s">
        <v>89</v>
      </c>
      <c r="H51" s="369"/>
      <c r="I51" s="3"/>
      <c r="J51" s="374" t="s">
        <v>86</v>
      </c>
      <c r="K51" s="374" t="s">
        <v>87</v>
      </c>
      <c r="L51" s="374" t="s">
        <v>88</v>
      </c>
      <c r="M51" s="374" t="s">
        <v>90</v>
      </c>
      <c r="N51" s="3"/>
      <c r="O51" s="3"/>
      <c r="P51" s="374" t="s">
        <v>86</v>
      </c>
      <c r="Q51" s="374" t="s">
        <v>87</v>
      </c>
      <c r="R51" s="374" t="s">
        <v>88</v>
      </c>
      <c r="S51" s="374" t="s">
        <v>90</v>
      </c>
      <c r="T51" s="3"/>
      <c r="U51" s="3"/>
      <c r="V51" s="374" t="s">
        <v>92</v>
      </c>
      <c r="W51" s="374" t="s">
        <v>87</v>
      </c>
      <c r="X51" s="374" t="s">
        <v>88</v>
      </c>
      <c r="Y51" s="374" t="s">
        <v>90</v>
      </c>
      <c r="Z51" s="3"/>
      <c r="AA51" s="3"/>
      <c r="AB51" s="3"/>
      <c r="AC51" s="3"/>
      <c r="AD51" s="3"/>
    </row>
    <row r="52" spans="1:30" x14ac:dyDescent="0.25">
      <c r="A52" s="3"/>
      <c r="B52" s="371"/>
      <c r="C52" s="373" t="s">
        <v>93</v>
      </c>
      <c r="D52" s="131"/>
      <c r="E52" s="131"/>
      <c r="F52" s="131"/>
      <c r="G52" s="132">
        <f>D52+E52-F52</f>
        <v>0</v>
      </c>
      <c r="H52" s="369"/>
      <c r="I52" s="3"/>
      <c r="J52" s="131"/>
      <c r="K52" s="131"/>
      <c r="L52" s="131"/>
      <c r="M52" s="132">
        <f>J52+K52-L52</f>
        <v>0</v>
      </c>
      <c r="N52" s="3"/>
      <c r="O52" s="3"/>
      <c r="P52" s="131"/>
      <c r="Q52" s="131"/>
      <c r="R52" s="131"/>
      <c r="S52" s="132">
        <f>P52+Q52-R52</f>
        <v>0</v>
      </c>
      <c r="T52" s="3"/>
      <c r="U52" s="3"/>
      <c r="V52" s="131"/>
      <c r="W52" s="131"/>
      <c r="X52" s="131"/>
      <c r="Y52" s="132">
        <f>V52+W52-X52</f>
        <v>0</v>
      </c>
      <c r="Z52" s="3"/>
      <c r="AA52" s="3"/>
      <c r="AB52" s="3"/>
      <c r="AC52" s="3"/>
      <c r="AD52" s="3"/>
    </row>
    <row r="53" spans="1:30" x14ac:dyDescent="0.25">
      <c r="A53" s="3"/>
      <c r="B53" s="371"/>
      <c r="C53" s="373" t="s">
        <v>94</v>
      </c>
      <c r="D53" s="131">
        <v>4168.6000000000004</v>
      </c>
      <c r="E53" s="131">
        <v>202.8</v>
      </c>
      <c r="F53" s="131">
        <v>0</v>
      </c>
      <c r="G53" s="132">
        <f>D53+E53-F53</f>
        <v>4371.4000000000005</v>
      </c>
      <c r="H53" s="369"/>
      <c r="I53" s="3"/>
      <c r="J53" s="131">
        <v>4371.5</v>
      </c>
      <c r="K53" s="131">
        <v>0</v>
      </c>
      <c r="L53" s="131">
        <v>0</v>
      </c>
      <c r="M53" s="132">
        <f>J53+K53-L53</f>
        <v>4371.5</v>
      </c>
      <c r="N53" s="3"/>
      <c r="O53" s="3"/>
      <c r="P53" s="131">
        <v>4371.5</v>
      </c>
      <c r="Q53" s="131">
        <v>111.5</v>
      </c>
      <c r="R53" s="131">
        <v>0</v>
      </c>
      <c r="S53" s="132">
        <f>P53+Q53-R53</f>
        <v>4483</v>
      </c>
      <c r="T53" s="3"/>
      <c r="U53" s="3"/>
      <c r="V53" s="131">
        <v>4483</v>
      </c>
      <c r="W53" s="131">
        <v>0</v>
      </c>
      <c r="X53" s="131">
        <v>0</v>
      </c>
      <c r="Y53" s="132">
        <f>V53+W53-X53</f>
        <v>4483</v>
      </c>
      <c r="Z53" s="3"/>
      <c r="AA53" s="3"/>
      <c r="AB53" s="3"/>
      <c r="AC53" s="3"/>
      <c r="AD53" s="3"/>
    </row>
    <row r="54" spans="1:30" x14ac:dyDescent="0.25">
      <c r="A54" s="3"/>
      <c r="B54" s="371"/>
      <c r="C54" s="373" t="s">
        <v>95</v>
      </c>
      <c r="D54" s="131">
        <v>2855.4</v>
      </c>
      <c r="E54" s="131">
        <v>805</v>
      </c>
      <c r="F54" s="131">
        <v>0</v>
      </c>
      <c r="G54" s="132">
        <f>D54+E54-F54</f>
        <v>3660.4</v>
      </c>
      <c r="H54" s="369"/>
      <c r="I54" s="3"/>
      <c r="J54" s="131">
        <v>3660</v>
      </c>
      <c r="K54" s="131">
        <v>1123</v>
      </c>
      <c r="L54" s="131">
        <v>1107</v>
      </c>
      <c r="M54" s="132">
        <f>J54+K54-L54</f>
        <v>3676</v>
      </c>
      <c r="N54" s="3"/>
      <c r="O54" s="3"/>
      <c r="P54" s="131">
        <v>3660</v>
      </c>
      <c r="Q54" s="131">
        <v>540.9</v>
      </c>
      <c r="R54" s="131">
        <v>727.4</v>
      </c>
      <c r="S54" s="132">
        <f>P54+Q54-R54</f>
        <v>3473.4999999999995</v>
      </c>
      <c r="T54" s="3"/>
      <c r="U54" s="3"/>
      <c r="V54" s="131">
        <v>3473.5</v>
      </c>
      <c r="W54" s="131">
        <v>578.79999999999995</v>
      </c>
      <c r="X54" s="131">
        <v>3500</v>
      </c>
      <c r="Y54" s="132">
        <f>V54+W54-X54</f>
        <v>552.30000000000018</v>
      </c>
      <c r="Z54" s="3"/>
      <c r="AA54" s="3"/>
      <c r="AB54" s="3"/>
      <c r="AC54" s="3"/>
      <c r="AD54" s="3"/>
    </row>
    <row r="55" spans="1:30" x14ac:dyDescent="0.25">
      <c r="A55" s="3"/>
      <c r="B55" s="371"/>
      <c r="C55" s="373" t="s">
        <v>96</v>
      </c>
      <c r="D55" s="131">
        <v>1330.9</v>
      </c>
      <c r="E55" s="131">
        <v>50.7</v>
      </c>
      <c r="F55" s="131">
        <v>0</v>
      </c>
      <c r="G55" s="132">
        <f>D55+E55-F55</f>
        <v>1381.6000000000001</v>
      </c>
      <c r="H55" s="369"/>
      <c r="I55" s="3"/>
      <c r="J55" s="131">
        <v>1382</v>
      </c>
      <c r="K55" s="131">
        <v>0</v>
      </c>
      <c r="L55" s="131">
        <v>0</v>
      </c>
      <c r="M55" s="132">
        <f>J55+K55-L55</f>
        <v>1382</v>
      </c>
      <c r="N55" s="3"/>
      <c r="O55" s="3"/>
      <c r="P55" s="131">
        <v>1382</v>
      </c>
      <c r="Q55" s="131">
        <v>27.5</v>
      </c>
      <c r="R55" s="131">
        <v>0</v>
      </c>
      <c r="S55" s="132">
        <f>P55+Q55-R55</f>
        <v>1409.5</v>
      </c>
      <c r="T55" s="3"/>
      <c r="U55" s="3"/>
      <c r="V55" s="131">
        <v>1409.5</v>
      </c>
      <c r="W55" s="131">
        <v>0</v>
      </c>
      <c r="X55" s="131">
        <v>0</v>
      </c>
      <c r="Y55" s="132">
        <f>V55+W55-X55</f>
        <v>1409.5</v>
      </c>
      <c r="Z55" s="3"/>
      <c r="AA55" s="3"/>
      <c r="AB55" s="3"/>
      <c r="AC55" s="3"/>
      <c r="AD55" s="3"/>
    </row>
    <row r="56" spans="1:30" x14ac:dyDescent="0.25">
      <c r="A56" s="3"/>
      <c r="B56" s="371"/>
      <c r="C56" s="376" t="s">
        <v>97</v>
      </c>
      <c r="D56" s="131">
        <v>194.2</v>
      </c>
      <c r="E56" s="131">
        <v>93.4</v>
      </c>
      <c r="F56" s="131">
        <v>109.7</v>
      </c>
      <c r="G56" s="132">
        <f>D56+E56-F56</f>
        <v>177.90000000000003</v>
      </c>
      <c r="H56" s="369"/>
      <c r="I56" s="3"/>
      <c r="J56" s="131">
        <v>178</v>
      </c>
      <c r="K56" s="131">
        <v>93</v>
      </c>
      <c r="L56" s="131">
        <v>120</v>
      </c>
      <c r="M56" s="132">
        <f>J56+K56-L56</f>
        <v>151</v>
      </c>
      <c r="N56" s="3"/>
      <c r="O56" s="3"/>
      <c r="P56" s="131">
        <v>178</v>
      </c>
      <c r="Q56" s="131">
        <v>93</v>
      </c>
      <c r="R56" s="131">
        <v>120</v>
      </c>
      <c r="S56" s="132">
        <f>P56+Q56-R56</f>
        <v>151</v>
      </c>
      <c r="T56" s="3"/>
      <c r="U56" s="3"/>
      <c r="V56" s="131">
        <v>151</v>
      </c>
      <c r="W56" s="131">
        <v>90</v>
      </c>
      <c r="X56" s="131">
        <v>100</v>
      </c>
      <c r="Y56" s="132">
        <f>V56+W56-X56</f>
        <v>141</v>
      </c>
      <c r="Z56" s="3"/>
      <c r="AA56" s="3"/>
      <c r="AB56" s="3"/>
      <c r="AC56" s="3"/>
      <c r="AD56" s="3"/>
    </row>
    <row r="57" spans="1:30" ht="10.5" customHeight="1" x14ac:dyDescent="0.25">
      <c r="A57" s="3"/>
      <c r="B57" s="371"/>
      <c r="C57" s="370"/>
      <c r="D57" s="369"/>
      <c r="E57" s="369"/>
      <c r="F57" s="369"/>
      <c r="G57" s="369"/>
      <c r="H57" s="36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3"/>
      <c r="B58" s="371"/>
      <c r="C58" s="375" t="s">
        <v>98</v>
      </c>
      <c r="D58" s="374" t="s">
        <v>99</v>
      </c>
      <c r="E58" s="374" t="s">
        <v>100</v>
      </c>
      <c r="F58" s="369"/>
      <c r="G58" s="369"/>
      <c r="H58" s="369"/>
      <c r="I58" s="368"/>
      <c r="J58" s="374" t="s">
        <v>101</v>
      </c>
      <c r="K58" s="369"/>
      <c r="L58" s="369"/>
      <c r="M58" s="369"/>
      <c r="N58" s="369"/>
      <c r="O58" s="368"/>
      <c r="P58" s="374" t="s">
        <v>102</v>
      </c>
      <c r="Q58" s="368"/>
      <c r="R58" s="368"/>
      <c r="S58" s="368"/>
      <c r="T58" s="368"/>
      <c r="U58" s="368"/>
      <c r="V58" s="374" t="s">
        <v>101</v>
      </c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3"/>
      <c r="B59" s="371"/>
      <c r="C59" s="373"/>
      <c r="D59" s="372">
        <v>9</v>
      </c>
      <c r="E59" s="372">
        <v>9</v>
      </c>
      <c r="F59" s="369"/>
      <c r="G59" s="369"/>
      <c r="H59" s="369"/>
      <c r="I59" s="368"/>
      <c r="J59" s="372">
        <v>9</v>
      </c>
      <c r="K59" s="369"/>
      <c r="L59" s="369"/>
      <c r="M59" s="369"/>
      <c r="N59" s="369"/>
      <c r="O59" s="368"/>
      <c r="P59" s="372">
        <v>9</v>
      </c>
      <c r="Q59" s="368"/>
      <c r="R59" s="368"/>
      <c r="S59" s="368"/>
      <c r="T59" s="368"/>
      <c r="U59" s="368"/>
      <c r="V59" s="372">
        <v>9</v>
      </c>
      <c r="W59" s="3"/>
      <c r="X59" s="3"/>
      <c r="Y59" s="3"/>
      <c r="Z59" s="3"/>
      <c r="AA59" s="3"/>
      <c r="AB59" s="3"/>
      <c r="AC59" s="3"/>
      <c r="AD59" s="3"/>
    </row>
    <row r="60" spans="1:30" x14ac:dyDescent="0.25">
      <c r="A60" s="3"/>
      <c r="B60" s="371"/>
      <c r="C60" s="370"/>
      <c r="D60" s="369"/>
      <c r="E60" s="369"/>
      <c r="F60" s="369"/>
      <c r="G60" s="369"/>
      <c r="H60" s="369"/>
      <c r="I60" s="368"/>
      <c r="J60" s="369"/>
      <c r="K60" s="369"/>
      <c r="L60" s="369"/>
      <c r="M60" s="369"/>
      <c r="N60" s="369"/>
      <c r="O60" s="368"/>
      <c r="P60" s="368"/>
      <c r="Q60" s="368"/>
      <c r="R60" s="368"/>
      <c r="S60" s="368"/>
      <c r="T60" s="368"/>
      <c r="U60" s="368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25">
      <c r="A61" s="3"/>
      <c r="B61" s="367" t="s">
        <v>103</v>
      </c>
      <c r="C61" s="366"/>
      <c r="D61" s="876"/>
      <c r="E61" s="876"/>
      <c r="F61" s="876"/>
      <c r="G61" s="876"/>
      <c r="H61" s="876"/>
      <c r="I61" s="876"/>
      <c r="J61" s="876"/>
      <c r="K61" s="876"/>
      <c r="L61" s="876"/>
      <c r="M61" s="876"/>
      <c r="N61" s="876"/>
      <c r="O61" s="876"/>
      <c r="P61" s="876"/>
      <c r="Q61" s="876"/>
      <c r="R61" s="876"/>
      <c r="S61" s="876"/>
      <c r="T61" s="876"/>
      <c r="U61" s="876"/>
      <c r="V61" s="365"/>
      <c r="W61" s="365"/>
      <c r="X61" s="365"/>
      <c r="Y61" s="365"/>
      <c r="Z61" s="365"/>
      <c r="AA61" s="365"/>
      <c r="AB61" s="364"/>
      <c r="AC61" s="3"/>
      <c r="AD61" s="3"/>
    </row>
    <row r="62" spans="1:30" x14ac:dyDescent="0.25">
      <c r="A62" s="3"/>
      <c r="B62" s="363" t="s">
        <v>147</v>
      </c>
      <c r="M62"/>
      <c r="AB62" s="357"/>
      <c r="AC62" s="3"/>
      <c r="AD62" s="3"/>
    </row>
    <row r="63" spans="1:30" x14ac:dyDescent="0.25">
      <c r="A63" s="3"/>
      <c r="B63" s="870"/>
      <c r="C63" s="868"/>
      <c r="D63" s="868"/>
      <c r="E63" s="868"/>
      <c r="F63" s="868"/>
      <c r="G63" s="868"/>
      <c r="H63" s="868"/>
      <c r="I63" s="868"/>
      <c r="J63" s="868"/>
      <c r="K63" s="868"/>
      <c r="L63" s="868"/>
      <c r="M63" s="868"/>
      <c r="N63" s="868"/>
      <c r="O63" s="868"/>
      <c r="P63" s="868"/>
      <c r="Q63" s="868"/>
      <c r="R63" s="868"/>
      <c r="S63" s="868"/>
      <c r="T63" s="868"/>
      <c r="U63" s="868"/>
      <c r="AB63" s="357"/>
      <c r="AC63" s="3"/>
      <c r="AD63" s="3"/>
    </row>
    <row r="64" spans="1:30" x14ac:dyDescent="0.25">
      <c r="A64" s="3"/>
      <c r="B64" s="870"/>
      <c r="C64" s="868"/>
      <c r="D64" s="868"/>
      <c r="E64" s="868"/>
      <c r="F64" s="868"/>
      <c r="G64" s="868"/>
      <c r="H64" s="868"/>
      <c r="I64" s="868"/>
      <c r="J64" s="868"/>
      <c r="K64" s="868"/>
      <c r="L64" s="868"/>
      <c r="M64" s="868"/>
      <c r="N64" s="868"/>
      <c r="O64" s="868"/>
      <c r="P64" s="868"/>
      <c r="Q64" s="868"/>
      <c r="R64" s="868"/>
      <c r="S64" s="868"/>
      <c r="T64" s="868"/>
      <c r="U64" s="868"/>
      <c r="AB64" s="357"/>
      <c r="AC64" s="3"/>
      <c r="AD64" s="3"/>
    </row>
    <row r="65" spans="1:30" x14ac:dyDescent="0.25">
      <c r="A65" s="3"/>
      <c r="B65" s="870"/>
      <c r="C65" s="868"/>
      <c r="D65" s="868"/>
      <c r="E65" s="868"/>
      <c r="F65" s="868"/>
      <c r="G65" s="868"/>
      <c r="H65" s="868"/>
      <c r="I65" s="868"/>
      <c r="J65" s="868"/>
      <c r="K65" s="868"/>
      <c r="L65" s="868"/>
      <c r="M65" s="868"/>
      <c r="N65" s="868"/>
      <c r="O65" s="868"/>
      <c r="P65" s="868"/>
      <c r="Q65" s="868"/>
      <c r="R65" s="868"/>
      <c r="S65" s="868"/>
      <c r="T65" s="868"/>
      <c r="U65" s="868"/>
      <c r="AB65" s="357"/>
      <c r="AC65" s="3"/>
      <c r="AD65" s="3"/>
    </row>
    <row r="66" spans="1:30" x14ac:dyDescent="0.25">
      <c r="A66" s="3"/>
      <c r="B66" s="362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AB66" s="357"/>
      <c r="AC66" s="3"/>
      <c r="AD66" s="3"/>
    </row>
    <row r="67" spans="1:30" x14ac:dyDescent="0.25">
      <c r="A67" s="3"/>
      <c r="B67" s="362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AB67" s="357"/>
      <c r="AC67" s="3"/>
      <c r="AD67" s="3"/>
    </row>
    <row r="68" spans="1:30" x14ac:dyDescent="0.25">
      <c r="A68" s="3"/>
      <c r="B68" s="362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AB68" s="357"/>
      <c r="AC68" s="3"/>
      <c r="AD68" s="3"/>
    </row>
    <row r="69" spans="1:30" x14ac:dyDescent="0.25">
      <c r="A69" s="3"/>
      <c r="B69" s="362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AB69" s="357"/>
      <c r="AC69" s="3"/>
      <c r="AD69" s="3"/>
    </row>
    <row r="70" spans="1:30" x14ac:dyDescent="0.25">
      <c r="A70" s="3"/>
      <c r="B70" s="362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AB70" s="357"/>
      <c r="AC70" s="3"/>
      <c r="AD70" s="3"/>
    </row>
    <row r="71" spans="1:30" x14ac:dyDescent="0.25">
      <c r="A71" s="3"/>
      <c r="B71" s="362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AB71" s="357"/>
      <c r="AC71" s="3"/>
      <c r="AD71" s="3"/>
    </row>
    <row r="72" spans="1:30" x14ac:dyDescent="0.25">
      <c r="A72" s="3"/>
      <c r="B72" s="362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AB72" s="357"/>
      <c r="AC72" s="3"/>
      <c r="AD72" s="3"/>
    </row>
    <row r="73" spans="1:30" x14ac:dyDescent="0.25">
      <c r="A73" s="3"/>
      <c r="B73" s="362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AB73" s="357"/>
      <c r="AC73" s="3"/>
      <c r="AD73" s="3"/>
    </row>
    <row r="74" spans="1:30" x14ac:dyDescent="0.25">
      <c r="A74" s="3"/>
      <c r="B74" s="362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AB74" s="357"/>
      <c r="AC74" s="3"/>
      <c r="AD74" s="3"/>
    </row>
    <row r="75" spans="1:30" x14ac:dyDescent="0.25">
      <c r="A75" s="3"/>
      <c r="B75" s="362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AB75" s="357"/>
      <c r="AC75" s="3"/>
      <c r="AD75" s="3"/>
    </row>
    <row r="76" spans="1:30" x14ac:dyDescent="0.25">
      <c r="A76" s="3"/>
      <c r="B76" s="362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AB76" s="357"/>
      <c r="AC76" s="3"/>
      <c r="AD76" s="3"/>
    </row>
    <row r="77" spans="1:30" x14ac:dyDescent="0.25">
      <c r="A77" s="3"/>
      <c r="B77" s="362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AB77" s="357"/>
      <c r="AC77" s="3"/>
      <c r="AD77" s="3"/>
    </row>
    <row r="78" spans="1:30" x14ac:dyDescent="0.25">
      <c r="A78" s="3"/>
      <c r="B78" s="362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AB78" s="357"/>
      <c r="AC78" s="3"/>
      <c r="AD78" s="3"/>
    </row>
    <row r="79" spans="1:30" x14ac:dyDescent="0.25">
      <c r="A79" s="3"/>
      <c r="B79" s="362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AB79" s="357"/>
      <c r="AC79" s="3"/>
      <c r="AD79" s="3"/>
    </row>
    <row r="80" spans="1:30" x14ac:dyDescent="0.25">
      <c r="A80" s="3"/>
      <c r="B80" s="362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AB80" s="357"/>
      <c r="AC80" s="3"/>
      <c r="AD80" s="3"/>
    </row>
    <row r="81" spans="1:30" x14ac:dyDescent="0.25">
      <c r="A81" s="3"/>
      <c r="B81" s="362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AB81" s="357"/>
      <c r="AC81" s="3"/>
      <c r="AD81" s="3"/>
    </row>
    <row r="82" spans="1:30" x14ac:dyDescent="0.25">
      <c r="A82" s="3"/>
      <c r="B82" s="362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AB82" s="357"/>
      <c r="AC82" s="3"/>
      <c r="AD82" s="3"/>
    </row>
    <row r="83" spans="1:30" x14ac:dyDescent="0.25">
      <c r="A83" s="3"/>
      <c r="B83" s="362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AB83" s="357"/>
      <c r="AC83" s="3"/>
      <c r="AD83" s="3"/>
    </row>
    <row r="84" spans="1:30" x14ac:dyDescent="0.25">
      <c r="A84" s="3"/>
      <c r="B84" s="870"/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AB84" s="357"/>
      <c r="AC84" s="3"/>
      <c r="AD84" s="3"/>
    </row>
    <row r="85" spans="1:30" x14ac:dyDescent="0.25">
      <c r="A85" s="3"/>
      <c r="B85" s="361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AB85" s="357"/>
      <c r="AC85" s="3"/>
      <c r="AD85" s="3"/>
    </row>
    <row r="86" spans="1:30" x14ac:dyDescent="0.25">
      <c r="A86" s="3"/>
      <c r="B86" s="361"/>
      <c r="C86" s="359"/>
      <c r="D86" s="359"/>
      <c r="E86" s="359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AB86" s="357"/>
      <c r="AC86" s="3"/>
      <c r="AD86" s="3"/>
    </row>
    <row r="87" spans="1:30" x14ac:dyDescent="0.25">
      <c r="A87" s="3"/>
      <c r="B87" s="361"/>
      <c r="C87" s="360"/>
      <c r="D87" s="359"/>
      <c r="E87" s="359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AB87" s="357"/>
      <c r="AC87" s="3"/>
      <c r="AD87" s="3"/>
    </row>
    <row r="88" spans="1:30" x14ac:dyDescent="0.25">
      <c r="A88" s="3"/>
      <c r="B88" s="361"/>
      <c r="C88" s="360"/>
      <c r="D88" s="359"/>
      <c r="E88" s="359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AB88" s="357"/>
      <c r="AC88" s="3"/>
      <c r="AD88" s="3"/>
    </row>
    <row r="89" spans="1:30" x14ac:dyDescent="0.25">
      <c r="A89" s="3"/>
      <c r="B89" s="356"/>
      <c r="C89" s="355"/>
      <c r="D89" s="354"/>
      <c r="E89" s="354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2"/>
      <c r="W89" s="352"/>
      <c r="X89" s="352"/>
      <c r="Y89" s="352"/>
      <c r="Z89" s="352"/>
      <c r="AA89" s="352"/>
      <c r="AB89" s="351"/>
      <c r="AC89" s="3"/>
      <c r="AD89" s="3"/>
    </row>
    <row r="90" spans="1:30" x14ac:dyDescent="0.25">
      <c r="A90" s="3"/>
      <c r="B90" s="349"/>
      <c r="C90" s="350"/>
      <c r="D90" s="349"/>
      <c r="E90" s="349"/>
      <c r="F90" s="348"/>
      <c r="G90" s="348"/>
      <c r="H90" s="348"/>
      <c r="I90" s="348"/>
      <c r="J90" s="348"/>
      <c r="K90" s="348"/>
      <c r="L90" s="348"/>
      <c r="M90" s="348"/>
      <c r="N90" s="348"/>
      <c r="O90" s="348"/>
      <c r="P90" s="348"/>
      <c r="Q90" s="348"/>
      <c r="R90" s="348"/>
      <c r="S90" s="348"/>
      <c r="T90" s="348"/>
      <c r="U90" s="348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3"/>
      <c r="B91" s="349"/>
      <c r="C91" s="350"/>
      <c r="D91" s="349"/>
      <c r="E91" s="349"/>
      <c r="F91" s="348"/>
      <c r="G91" s="348"/>
      <c r="H91" s="348"/>
      <c r="I91" s="348"/>
      <c r="J91" s="348"/>
      <c r="K91" s="348"/>
      <c r="L91" s="348"/>
      <c r="M91" s="348"/>
      <c r="N91" s="348"/>
      <c r="O91" s="348"/>
      <c r="P91" s="348"/>
      <c r="Q91" s="348"/>
      <c r="R91" s="348"/>
      <c r="S91" s="348"/>
      <c r="T91" s="348"/>
      <c r="U91" s="348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3"/>
      <c r="B92" s="344"/>
      <c r="C92" s="344"/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3"/>
      <c r="B93" s="344" t="s">
        <v>109</v>
      </c>
      <c r="C93" s="347">
        <v>44764</v>
      </c>
      <c r="D93" s="344" t="s">
        <v>110</v>
      </c>
      <c r="E93" s="868" t="s">
        <v>146</v>
      </c>
      <c r="F93" s="868"/>
      <c r="G93" s="868"/>
      <c r="H93" s="344"/>
      <c r="I93" s="344" t="s">
        <v>112</v>
      </c>
      <c r="J93" s="869" t="s">
        <v>145</v>
      </c>
      <c r="K93" s="869"/>
      <c r="L93" s="869"/>
      <c r="M93" s="869"/>
      <c r="N93" s="344"/>
      <c r="O93" s="344"/>
      <c r="P93" s="344"/>
      <c r="Q93" s="344"/>
      <c r="R93" s="344"/>
      <c r="S93" s="344"/>
      <c r="T93" s="344"/>
      <c r="U93" s="344"/>
      <c r="V93" s="3"/>
      <c r="W93" s="3"/>
      <c r="X93" s="3"/>
      <c r="Y93" s="3"/>
      <c r="Z93" s="3"/>
      <c r="AA93" s="3"/>
      <c r="AB93" s="3"/>
      <c r="AC93" s="3"/>
      <c r="AD93" s="3"/>
    </row>
    <row r="94" spans="1:30" ht="7.5" customHeight="1" x14ac:dyDescent="0.25">
      <c r="A94" s="3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3"/>
      <c r="B95" s="344"/>
      <c r="C95" s="344"/>
      <c r="D95" s="344" t="s">
        <v>114</v>
      </c>
      <c r="E95" s="346"/>
      <c r="F95" s="346"/>
      <c r="G95" s="346"/>
      <c r="H95" s="344"/>
      <c r="I95" s="344" t="s">
        <v>114</v>
      </c>
      <c r="J95" s="345"/>
      <c r="K95" s="345"/>
      <c r="L95" s="345"/>
      <c r="M95" s="345"/>
      <c r="N95" s="344"/>
      <c r="O95" s="344"/>
      <c r="P95" s="344"/>
      <c r="Q95" s="344"/>
      <c r="R95" s="344"/>
      <c r="S95" s="344"/>
      <c r="T95" s="344"/>
      <c r="U95" s="344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3"/>
      <c r="B96" s="344"/>
      <c r="C96" s="344"/>
      <c r="D96" s="344"/>
      <c r="E96" s="346"/>
      <c r="F96" s="346"/>
      <c r="G96" s="346"/>
      <c r="H96" s="344"/>
      <c r="I96" s="344"/>
      <c r="J96" s="345"/>
      <c r="K96" s="345"/>
      <c r="L96" s="345"/>
      <c r="M96" s="345"/>
      <c r="N96" s="344"/>
      <c r="O96" s="344"/>
      <c r="P96" s="344"/>
      <c r="Q96" s="344"/>
      <c r="R96" s="344"/>
      <c r="S96" s="344"/>
      <c r="T96" s="344"/>
      <c r="U96" s="344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5">
      <c r="A97" s="3"/>
      <c r="B97" s="344"/>
      <c r="C97" s="344"/>
      <c r="D97" s="344"/>
      <c r="E97" s="344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4"/>
      <c r="Q97" s="344"/>
      <c r="R97" s="344"/>
      <c r="S97" s="344"/>
      <c r="T97" s="344"/>
      <c r="U97" s="344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25">
      <c r="A98" s="3"/>
      <c r="B98" s="344"/>
      <c r="C98" s="344"/>
      <c r="D98" s="344"/>
      <c r="E98" s="344"/>
      <c r="F98" s="344"/>
      <c r="G98" s="344"/>
      <c r="H98" s="344"/>
      <c r="I98" s="344"/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T98" s="344"/>
      <c r="U98" s="344"/>
      <c r="V98" s="3"/>
      <c r="W98" s="3"/>
      <c r="X98" s="3"/>
      <c r="Y98" s="3"/>
      <c r="Z98" s="3"/>
      <c r="AA98" s="3"/>
      <c r="AB98" s="3"/>
      <c r="AC98" s="3"/>
      <c r="AD98" s="3"/>
    </row>
    <row r="115" ht="15" hidden="1" customHeight="1" x14ac:dyDescent="0.25"/>
    <row r="129" ht="15" hidden="1" customHeight="1" x14ac:dyDescent="0.25"/>
    <row r="130" ht="15" hidden="1" customHeight="1" x14ac:dyDescent="0.25"/>
  </sheetData>
  <mergeCells count="65">
    <mergeCell ref="J10:O10"/>
    <mergeCell ref="J11:M11"/>
    <mergeCell ref="J12:O12"/>
    <mergeCell ref="J13:L13"/>
    <mergeCell ref="M13:M14"/>
    <mergeCell ref="N13:N14"/>
    <mergeCell ref="D4:U4"/>
    <mergeCell ref="D8:U8"/>
    <mergeCell ref="C45:C46"/>
    <mergeCell ref="C48:C49"/>
    <mergeCell ref="C26:C27"/>
    <mergeCell ref="O13:O14"/>
    <mergeCell ref="J25:O25"/>
    <mergeCell ref="J26:L26"/>
    <mergeCell ref="M26:M27"/>
    <mergeCell ref="N26:N27"/>
    <mergeCell ref="O26:O27"/>
    <mergeCell ref="I13:I14"/>
    <mergeCell ref="D25:I25"/>
    <mergeCell ref="D26:F26"/>
    <mergeCell ref="G26:G27"/>
    <mergeCell ref="P10:U10"/>
    <mergeCell ref="H26:H27"/>
    <mergeCell ref="I26:I27"/>
    <mergeCell ref="H13:H14"/>
    <mergeCell ref="E93:G93"/>
    <mergeCell ref="J93:M93"/>
    <mergeCell ref="B65:U65"/>
    <mergeCell ref="B84:U84"/>
    <mergeCell ref="B64:U64"/>
    <mergeCell ref="D61:U61"/>
    <mergeCell ref="B63:U63"/>
    <mergeCell ref="B26:B27"/>
    <mergeCell ref="B10:B13"/>
    <mergeCell ref="P11:S11"/>
    <mergeCell ref="P12:U12"/>
    <mergeCell ref="P13:R13"/>
    <mergeCell ref="G13:G14"/>
    <mergeCell ref="D12:I12"/>
    <mergeCell ref="D10:I10"/>
    <mergeCell ref="D11:G11"/>
    <mergeCell ref="C10:C13"/>
    <mergeCell ref="D13:F13"/>
    <mergeCell ref="S13:S14"/>
    <mergeCell ref="T13:T14"/>
    <mergeCell ref="U13:U14"/>
    <mergeCell ref="P25:U25"/>
    <mergeCell ref="P26:R26"/>
    <mergeCell ref="S26:S27"/>
    <mergeCell ref="T26:T27"/>
    <mergeCell ref="U26:U27"/>
    <mergeCell ref="V10:AA10"/>
    <mergeCell ref="V25:AA25"/>
    <mergeCell ref="Y13:Y14"/>
    <mergeCell ref="Z13:Z14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</mergeCells>
  <conditionalFormatting sqref="AB15:AB25">
    <cfRule type="cellIs" dxfId="67" priority="3" operator="equal">
      <formula>0</formula>
    </cfRule>
    <cfRule type="containsErrors" dxfId="66" priority="4">
      <formula>ISERROR(AB15)</formula>
    </cfRule>
  </conditionalFormatting>
  <conditionalFormatting sqref="AB28:AB43">
    <cfRule type="cellIs" dxfId="65" priority="1" operator="equal">
      <formula>0</formula>
    </cfRule>
    <cfRule type="containsErrors" dxfId="64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zoomScaleNormal="100" zoomScaleSheetLayoutView="80" workbookViewId="0">
      <selection activeCell="C72" sqref="C72:D7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59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1.8554687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134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46789944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27" t="s">
        <v>133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9</v>
      </c>
      <c r="K10" s="883"/>
      <c r="L10" s="883"/>
      <c r="M10" s="883"/>
      <c r="N10" s="883"/>
      <c r="O10" s="884"/>
      <c r="P10" s="882" t="s">
        <v>10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890"/>
      <c r="H14" s="892"/>
      <c r="I14" s="912"/>
      <c r="J14" s="11" t="s">
        <v>20</v>
      </c>
      <c r="K14" s="12" t="s">
        <v>21</v>
      </c>
      <c r="L14" s="12" t="s">
        <v>22</v>
      </c>
      <c r="M14" s="890"/>
      <c r="N14" s="892"/>
      <c r="O14" s="912"/>
      <c r="P14" s="11" t="s">
        <v>20</v>
      </c>
      <c r="Q14" s="12" t="s">
        <v>21</v>
      </c>
      <c r="R14" s="12" t="s">
        <v>22</v>
      </c>
      <c r="S14" s="890"/>
      <c r="T14" s="892"/>
      <c r="U14" s="912"/>
      <c r="V14" s="11" t="s">
        <v>20</v>
      </c>
      <c r="W14" s="12" t="s">
        <v>21</v>
      </c>
      <c r="X14" s="12" t="s">
        <v>22</v>
      </c>
      <c r="Y14" s="890"/>
      <c r="Z14" s="892"/>
      <c r="AA14" s="912"/>
      <c r="AB14" s="902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56048</v>
      </c>
      <c r="G15" s="18">
        <f t="shared" ref="G15:G24" si="0">SUM(D15:F15)</f>
        <v>56048</v>
      </c>
      <c r="H15" s="19">
        <v>127.9</v>
      </c>
      <c r="I15" s="20">
        <f t="shared" ref="I15:I23" si="1">G15+H15</f>
        <v>56175.9</v>
      </c>
      <c r="J15" s="15"/>
      <c r="K15" s="16"/>
      <c r="L15" s="17">
        <v>60647</v>
      </c>
      <c r="M15" s="18">
        <f t="shared" ref="M15:M24" si="2">SUM(J15:L15)</f>
        <v>60647</v>
      </c>
      <c r="N15" s="19">
        <v>0</v>
      </c>
      <c r="O15" s="20">
        <f t="shared" ref="O15:O23" si="3">M15+N15</f>
        <v>60647</v>
      </c>
      <c r="P15" s="15"/>
      <c r="Q15" s="16"/>
      <c r="R15" s="17">
        <v>35933.4</v>
      </c>
      <c r="S15" s="18">
        <f t="shared" ref="S15:S24" si="4">SUM(P15:R15)</f>
        <v>35933.4</v>
      </c>
      <c r="T15" s="19">
        <v>0</v>
      </c>
      <c r="U15" s="20">
        <f t="shared" ref="U15:U23" si="5">S15+T15</f>
        <v>35933.4</v>
      </c>
      <c r="V15" s="15"/>
      <c r="W15" s="16"/>
      <c r="X15" s="17">
        <v>70160</v>
      </c>
      <c r="Y15" s="18">
        <f t="shared" ref="Y15:Y24" si="6">SUM(V15:X15)</f>
        <v>70160</v>
      </c>
      <c r="Z15" s="19">
        <v>0</v>
      </c>
      <c r="AA15" s="20">
        <f t="shared" ref="AA15:AA23" si="7">Y15+Z15</f>
        <v>70160</v>
      </c>
      <c r="AB15" s="21">
        <f t="shared" ref="AB15:AB24" si="8">(AA15/O15)</f>
        <v>1.1568585420548421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26882</v>
      </c>
      <c r="E16" s="25"/>
      <c r="F16" s="25"/>
      <c r="G16" s="26">
        <f t="shared" si="0"/>
        <v>26882</v>
      </c>
      <c r="H16" s="27"/>
      <c r="I16" s="20">
        <f t="shared" si="1"/>
        <v>26882</v>
      </c>
      <c r="J16" s="24">
        <v>35323</v>
      </c>
      <c r="K16" s="25"/>
      <c r="L16" s="25"/>
      <c r="M16" s="26">
        <f t="shared" si="2"/>
        <v>35323</v>
      </c>
      <c r="N16" s="27"/>
      <c r="O16" s="20">
        <f t="shared" si="3"/>
        <v>35323</v>
      </c>
      <c r="P16" s="24">
        <v>18273</v>
      </c>
      <c r="Q16" s="25"/>
      <c r="R16" s="25"/>
      <c r="S16" s="26">
        <f t="shared" si="4"/>
        <v>18273</v>
      </c>
      <c r="T16" s="27"/>
      <c r="U16" s="20">
        <f t="shared" si="5"/>
        <v>18273</v>
      </c>
      <c r="V16" s="24">
        <v>28580</v>
      </c>
      <c r="W16" s="25"/>
      <c r="X16" s="25"/>
      <c r="Y16" s="26">
        <f t="shared" si="6"/>
        <v>28580</v>
      </c>
      <c r="Z16" s="27"/>
      <c r="AA16" s="20">
        <f t="shared" si="7"/>
        <v>28580</v>
      </c>
      <c r="AB16" s="21">
        <f t="shared" si="8"/>
        <v>0.80910454944370525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/>
      <c r="E17" s="30"/>
      <c r="F17" s="30"/>
      <c r="G17" s="26">
        <f t="shared" si="0"/>
        <v>0</v>
      </c>
      <c r="H17" s="31"/>
      <c r="I17" s="20">
        <f t="shared" si="1"/>
        <v>0</v>
      </c>
      <c r="J17" s="29"/>
      <c r="K17" s="30"/>
      <c r="L17" s="30"/>
      <c r="M17" s="26">
        <f t="shared" si="2"/>
        <v>0</v>
      </c>
      <c r="N17" s="31"/>
      <c r="O17" s="20">
        <f t="shared" si="3"/>
        <v>0</v>
      </c>
      <c r="P17" s="29"/>
      <c r="Q17" s="30"/>
      <c r="R17" s="30"/>
      <c r="S17" s="26">
        <f t="shared" si="4"/>
        <v>0</v>
      </c>
      <c r="T17" s="31"/>
      <c r="U17" s="20">
        <f t="shared" si="5"/>
        <v>0</v>
      </c>
      <c r="V17" s="29"/>
      <c r="W17" s="30"/>
      <c r="X17" s="30"/>
      <c r="Y17" s="26">
        <f t="shared" si="6"/>
        <v>0</v>
      </c>
      <c r="Z17" s="31"/>
      <c r="AA17" s="20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56821</v>
      </c>
      <c r="F18" s="30"/>
      <c r="G18" s="26">
        <f t="shared" si="0"/>
        <v>56821</v>
      </c>
      <c r="H18" s="19"/>
      <c r="I18" s="20">
        <f t="shared" si="1"/>
        <v>56821</v>
      </c>
      <c r="J18" s="33"/>
      <c r="K18" s="34">
        <v>40620.9</v>
      </c>
      <c r="L18" s="30"/>
      <c r="M18" s="26">
        <f t="shared" si="2"/>
        <v>40620.9</v>
      </c>
      <c r="N18" s="19"/>
      <c r="O18" s="20">
        <f t="shared" si="3"/>
        <v>40620.9</v>
      </c>
      <c r="P18" s="33"/>
      <c r="Q18" s="34">
        <v>37301.300000000003</v>
      </c>
      <c r="R18" s="30"/>
      <c r="S18" s="26">
        <f t="shared" si="4"/>
        <v>37301.300000000003</v>
      </c>
      <c r="T18" s="19"/>
      <c r="U18" s="20">
        <f t="shared" si="5"/>
        <v>37301.300000000003</v>
      </c>
      <c r="V18" s="33"/>
      <c r="W18" s="34">
        <v>51320</v>
      </c>
      <c r="X18" s="30"/>
      <c r="Y18" s="26">
        <f t="shared" si="6"/>
        <v>51320</v>
      </c>
      <c r="Z18" s="19"/>
      <c r="AA18" s="20">
        <f t="shared" si="7"/>
        <v>51320</v>
      </c>
      <c r="AB18" s="21">
        <f t="shared" si="8"/>
        <v>1.2633890435711665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si="0"/>
        <v>0</v>
      </c>
      <c r="H19" s="38"/>
      <c r="I19" s="20">
        <f t="shared" si="1"/>
        <v>0</v>
      </c>
      <c r="J19" s="36"/>
      <c r="K19" s="30"/>
      <c r="L19" s="37"/>
      <c r="M19" s="26">
        <f t="shared" si="2"/>
        <v>0</v>
      </c>
      <c r="N19" s="38"/>
      <c r="O19" s="20">
        <f t="shared" si="3"/>
        <v>0</v>
      </c>
      <c r="P19" s="36"/>
      <c r="Q19" s="30"/>
      <c r="R19" s="37"/>
      <c r="S19" s="26">
        <f t="shared" si="4"/>
        <v>0</v>
      </c>
      <c r="T19" s="38"/>
      <c r="U19" s="20">
        <f t="shared" si="5"/>
        <v>0</v>
      </c>
      <c r="V19" s="36"/>
      <c r="W19" s="30"/>
      <c r="X19" s="37"/>
      <c r="Y19" s="26">
        <f t="shared" si="6"/>
        <v>0</v>
      </c>
      <c r="Z19" s="38"/>
      <c r="AA19" s="20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16</v>
      </c>
      <c r="G20" s="26">
        <f t="shared" si="0"/>
        <v>16</v>
      </c>
      <c r="H20" s="38"/>
      <c r="I20" s="20">
        <f t="shared" si="1"/>
        <v>16</v>
      </c>
      <c r="J20" s="33"/>
      <c r="K20" s="25"/>
      <c r="L20" s="40"/>
      <c r="M20" s="26">
        <f t="shared" si="2"/>
        <v>0</v>
      </c>
      <c r="N20" s="38"/>
      <c r="O20" s="20">
        <f t="shared" si="3"/>
        <v>0</v>
      </c>
      <c r="P20" s="33"/>
      <c r="Q20" s="25"/>
      <c r="R20" s="40">
        <v>17.2</v>
      </c>
      <c r="S20" s="26">
        <f t="shared" si="4"/>
        <v>17.2</v>
      </c>
      <c r="T20" s="38"/>
      <c r="U20" s="20">
        <f t="shared" si="5"/>
        <v>17.2</v>
      </c>
      <c r="V20" s="33"/>
      <c r="W20" s="25"/>
      <c r="X20" s="40"/>
      <c r="Y20" s="26">
        <f t="shared" si="6"/>
        <v>0</v>
      </c>
      <c r="Z20" s="38"/>
      <c r="AA20" s="20">
        <f t="shared" si="7"/>
        <v>0</v>
      </c>
      <c r="AB20" s="21" t="e">
        <f t="shared" si="8"/>
        <v>#DIV/0!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1410.3</v>
      </c>
      <c r="G21" s="26">
        <f t="shared" si="0"/>
        <v>1410.3</v>
      </c>
      <c r="H21" s="42">
        <v>6.6</v>
      </c>
      <c r="I21" s="20">
        <f t="shared" si="1"/>
        <v>1416.8999999999999</v>
      </c>
      <c r="J21" s="33"/>
      <c r="K21" s="25"/>
      <c r="L21" s="40">
        <f>479+69</f>
        <v>548</v>
      </c>
      <c r="M21" s="26">
        <f t="shared" si="2"/>
        <v>548</v>
      </c>
      <c r="N21" s="42"/>
      <c r="O21" s="20">
        <f t="shared" si="3"/>
        <v>548</v>
      </c>
      <c r="P21" s="33"/>
      <c r="Q21" s="25"/>
      <c r="R21" s="40">
        <v>629.5</v>
      </c>
      <c r="S21" s="26">
        <f t="shared" si="4"/>
        <v>629.5</v>
      </c>
      <c r="T21" s="42">
        <v>8.8000000000000007</v>
      </c>
      <c r="U21" s="20">
        <f t="shared" si="5"/>
        <v>638.29999999999995</v>
      </c>
      <c r="V21" s="33"/>
      <c r="W21" s="25"/>
      <c r="X21" s="40">
        <v>173</v>
      </c>
      <c r="Y21" s="26">
        <f t="shared" si="6"/>
        <v>173</v>
      </c>
      <c r="Z21" s="42"/>
      <c r="AA21" s="20">
        <f t="shared" si="7"/>
        <v>173</v>
      </c>
      <c r="AB21" s="21">
        <f t="shared" si="8"/>
        <v>0.31569343065693428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0"/>
        <v>0</v>
      </c>
      <c r="H22" s="42">
        <v>5</v>
      </c>
      <c r="I22" s="20">
        <f t="shared" si="1"/>
        <v>5</v>
      </c>
      <c r="J22" s="33"/>
      <c r="K22" s="25"/>
      <c r="L22" s="40"/>
      <c r="M22" s="26">
        <f t="shared" si="2"/>
        <v>0</v>
      </c>
      <c r="N22" s="42"/>
      <c r="O22" s="20">
        <f t="shared" si="3"/>
        <v>0</v>
      </c>
      <c r="P22" s="33"/>
      <c r="Q22" s="25"/>
      <c r="R22" s="40"/>
      <c r="S22" s="26">
        <f t="shared" si="4"/>
        <v>0</v>
      </c>
      <c r="T22" s="42"/>
      <c r="U22" s="20">
        <f t="shared" si="5"/>
        <v>0</v>
      </c>
      <c r="V22" s="33"/>
      <c r="W22" s="25"/>
      <c r="X22" s="40"/>
      <c r="Y22" s="26">
        <f t="shared" si="6"/>
        <v>0</v>
      </c>
      <c r="Z22" s="42"/>
      <c r="AA22" s="20">
        <f t="shared" si="7"/>
        <v>0</v>
      </c>
      <c r="AB22" s="21" t="e">
        <f t="shared" si="8"/>
        <v>#DIV/0!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0"/>
        <v>0</v>
      </c>
      <c r="H23" s="49"/>
      <c r="I23" s="50">
        <f t="shared" si="1"/>
        <v>0</v>
      </c>
      <c r="J23" s="45"/>
      <c r="K23" s="46"/>
      <c r="L23" s="47"/>
      <c r="M23" s="48">
        <f t="shared" si="2"/>
        <v>0</v>
      </c>
      <c r="N23" s="49"/>
      <c r="O23" s="50">
        <f t="shared" si="3"/>
        <v>0</v>
      </c>
      <c r="P23" s="45"/>
      <c r="Q23" s="46"/>
      <c r="R23" s="47"/>
      <c r="S23" s="48">
        <f t="shared" si="4"/>
        <v>0</v>
      </c>
      <c r="T23" s="49"/>
      <c r="U23" s="50">
        <f t="shared" si="5"/>
        <v>0</v>
      </c>
      <c r="V23" s="45"/>
      <c r="W23" s="46"/>
      <c r="X23" s="47"/>
      <c r="Y23" s="48">
        <f t="shared" si="6"/>
        <v>0</v>
      </c>
      <c r="Z23" s="49"/>
      <c r="AA23" s="50">
        <f t="shared" si="7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26882</v>
      </c>
      <c r="E24" s="55">
        <f>SUM(E15:E21)</f>
        <v>56821</v>
      </c>
      <c r="F24" s="55">
        <f>SUM(F15:F21)</f>
        <v>57474.3</v>
      </c>
      <c r="G24" s="56">
        <f t="shared" si="0"/>
        <v>141177.29999999999</v>
      </c>
      <c r="H24" s="57">
        <f>SUM(H15:H21)</f>
        <v>134.5</v>
      </c>
      <c r="I24" s="57">
        <f>SUM(I15:I21)</f>
        <v>141311.79999999999</v>
      </c>
      <c r="J24" s="54">
        <f>SUM(J15:J21)</f>
        <v>35323</v>
      </c>
      <c r="K24" s="55">
        <f>SUM(K15:K21)</f>
        <v>40620.9</v>
      </c>
      <c r="L24" s="55">
        <f>SUM(L15:L21)</f>
        <v>61195</v>
      </c>
      <c r="M24" s="56">
        <f t="shared" si="2"/>
        <v>137138.9</v>
      </c>
      <c r="N24" s="57">
        <f>SUM(N15:N21)</f>
        <v>0</v>
      </c>
      <c r="O24" s="57">
        <f>SUM(O15:O21)</f>
        <v>137138.9</v>
      </c>
      <c r="P24" s="54">
        <f>SUM(P15:P21)</f>
        <v>18273</v>
      </c>
      <c r="Q24" s="55">
        <f>SUM(Q15:Q21)</f>
        <v>37301.300000000003</v>
      </c>
      <c r="R24" s="55">
        <f>SUM(R15:R21)</f>
        <v>36580.1</v>
      </c>
      <c r="S24" s="56">
        <f t="shared" si="4"/>
        <v>92154.4</v>
      </c>
      <c r="T24" s="57">
        <f>SUM(T15:T21)</f>
        <v>8.8000000000000007</v>
      </c>
      <c r="U24" s="57">
        <f>SUM(U15:U21)</f>
        <v>92163.200000000012</v>
      </c>
      <c r="V24" s="54">
        <f>SUM(V15:V21)</f>
        <v>28580</v>
      </c>
      <c r="W24" s="55">
        <f>SUM(W15:W21)</f>
        <v>51320</v>
      </c>
      <c r="X24" s="55">
        <f>SUM(X15:X21)</f>
        <v>70333</v>
      </c>
      <c r="Y24" s="56">
        <f t="shared" si="6"/>
        <v>150233</v>
      </c>
      <c r="Z24" s="57">
        <f>SUM(Z15:Z21)</f>
        <v>0</v>
      </c>
      <c r="AA24" s="57">
        <f>SUM(AA15:AA21)</f>
        <v>150233</v>
      </c>
      <c r="AB24" s="58">
        <f t="shared" si="8"/>
        <v>1.0954805675122086</v>
      </c>
      <c r="AC24" s="3"/>
      <c r="AD24" s="3"/>
    </row>
    <row r="25" spans="1:30" ht="15.75" customHeight="1" thickBot="1" x14ac:dyDescent="0.3">
      <c r="A25" s="1"/>
      <c r="B25" s="59"/>
      <c r="C25" s="60"/>
      <c r="D25" s="885" t="s">
        <v>43</v>
      </c>
      <c r="E25" s="886"/>
      <c r="F25" s="886"/>
      <c r="G25" s="887"/>
      <c r="H25" s="887"/>
      <c r="I25" s="888"/>
      <c r="J25" s="885" t="s">
        <v>43</v>
      </c>
      <c r="K25" s="886"/>
      <c r="L25" s="886"/>
      <c r="M25" s="887"/>
      <c r="N25" s="887"/>
      <c r="O25" s="888"/>
      <c r="P25" s="885" t="s">
        <v>43</v>
      </c>
      <c r="Q25" s="886"/>
      <c r="R25" s="886"/>
      <c r="S25" s="887"/>
      <c r="T25" s="887"/>
      <c r="U25" s="888"/>
      <c r="V25" s="885" t="s">
        <v>43</v>
      </c>
      <c r="W25" s="886"/>
      <c r="X25" s="886"/>
      <c r="Y25" s="887"/>
      <c r="Z25" s="887"/>
      <c r="AA25" s="888"/>
      <c r="AB25" s="893" t="s">
        <v>12</v>
      </c>
      <c r="AC25" s="3"/>
      <c r="AD25" s="3"/>
    </row>
    <row r="26" spans="1:30" ht="15.75" thickBot="1" x14ac:dyDescent="0.3">
      <c r="A26" s="1"/>
      <c r="B26" s="932" t="s">
        <v>6</v>
      </c>
      <c r="C26" s="917" t="s">
        <v>7</v>
      </c>
      <c r="D26" s="896" t="s">
        <v>44</v>
      </c>
      <c r="E26" s="897"/>
      <c r="F26" s="897"/>
      <c r="G26" s="913" t="s">
        <v>45</v>
      </c>
      <c r="H26" s="915" t="s">
        <v>46</v>
      </c>
      <c r="I26" s="898" t="s">
        <v>43</v>
      </c>
      <c r="J26" s="896" t="s">
        <v>44</v>
      </c>
      <c r="K26" s="897"/>
      <c r="L26" s="897"/>
      <c r="M26" s="913" t="s">
        <v>45</v>
      </c>
      <c r="N26" s="915" t="s">
        <v>46</v>
      </c>
      <c r="O26" s="898" t="s">
        <v>43</v>
      </c>
      <c r="P26" s="896" t="s">
        <v>44</v>
      </c>
      <c r="Q26" s="897"/>
      <c r="R26" s="897"/>
      <c r="S26" s="913" t="s">
        <v>45</v>
      </c>
      <c r="T26" s="915" t="s">
        <v>46</v>
      </c>
      <c r="U26" s="898" t="s">
        <v>43</v>
      </c>
      <c r="V26" s="896" t="s">
        <v>44</v>
      </c>
      <c r="W26" s="897"/>
      <c r="X26" s="897"/>
      <c r="Y26" s="913" t="s">
        <v>45</v>
      </c>
      <c r="Z26" s="915" t="s">
        <v>46</v>
      </c>
      <c r="AA26" s="898" t="s">
        <v>43</v>
      </c>
      <c r="AB26" s="894"/>
      <c r="AC26" s="3"/>
      <c r="AD26" s="3"/>
    </row>
    <row r="27" spans="1:30" ht="15.75" thickBot="1" x14ac:dyDescent="0.3">
      <c r="A27" s="1"/>
      <c r="B27" s="933"/>
      <c r="C27" s="918"/>
      <c r="D27" s="61" t="s">
        <v>47</v>
      </c>
      <c r="E27" s="62" t="s">
        <v>48</v>
      </c>
      <c r="F27" s="63" t="s">
        <v>49</v>
      </c>
      <c r="G27" s="914"/>
      <c r="H27" s="916"/>
      <c r="I27" s="899"/>
      <c r="J27" s="61" t="s">
        <v>47</v>
      </c>
      <c r="K27" s="62" t="s">
        <v>48</v>
      </c>
      <c r="L27" s="63" t="s">
        <v>49</v>
      </c>
      <c r="M27" s="914"/>
      <c r="N27" s="916"/>
      <c r="O27" s="899"/>
      <c r="P27" s="61" t="s">
        <v>47</v>
      </c>
      <c r="Q27" s="62" t="s">
        <v>48</v>
      </c>
      <c r="R27" s="63" t="s">
        <v>49</v>
      </c>
      <c r="S27" s="914"/>
      <c r="T27" s="916"/>
      <c r="U27" s="899"/>
      <c r="V27" s="61" t="s">
        <v>47</v>
      </c>
      <c r="W27" s="62" t="s">
        <v>48</v>
      </c>
      <c r="X27" s="63" t="s">
        <v>49</v>
      </c>
      <c r="Y27" s="914"/>
      <c r="Z27" s="916"/>
      <c r="AA27" s="899"/>
      <c r="AB27" s="895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303</v>
      </c>
      <c r="E28" s="65"/>
      <c r="F28" s="65">
        <v>516.1</v>
      </c>
      <c r="G28" s="66">
        <f t="shared" ref="G28:G39" si="9">SUM(D28:F28)</f>
        <v>819.1</v>
      </c>
      <c r="H28" s="66"/>
      <c r="I28" s="67">
        <f t="shared" ref="I28:I38" si="10">G28+H28</f>
        <v>819.1</v>
      </c>
      <c r="J28" s="68">
        <v>425</v>
      </c>
      <c r="K28" s="65">
        <v>35</v>
      </c>
      <c r="L28" s="65">
        <v>790</v>
      </c>
      <c r="M28" s="66">
        <f t="shared" ref="M28:M39" si="11">SUM(J28:L28)</f>
        <v>1250</v>
      </c>
      <c r="N28" s="66"/>
      <c r="O28" s="67">
        <f t="shared" ref="O28:O38" si="12">M28+N28</f>
        <v>1250</v>
      </c>
      <c r="P28" s="68">
        <v>108</v>
      </c>
      <c r="Q28" s="65">
        <v>12.27</v>
      </c>
      <c r="R28" s="65">
        <v>592.45000000000005</v>
      </c>
      <c r="S28" s="66">
        <f t="shared" ref="S28:S39" si="13">SUM(P28:R28)</f>
        <v>712.72</v>
      </c>
      <c r="T28" s="66"/>
      <c r="U28" s="67">
        <f t="shared" ref="U28:U38" si="14">S28+T28</f>
        <v>712.72</v>
      </c>
      <c r="V28" s="68">
        <v>300</v>
      </c>
      <c r="W28" s="65">
        <v>40</v>
      </c>
      <c r="X28" s="65">
        <f>1409-340</f>
        <v>1069</v>
      </c>
      <c r="Y28" s="66">
        <f t="shared" ref="Y28:Y39" si="15">SUM(V28:X28)</f>
        <v>1409</v>
      </c>
      <c r="Z28" s="66"/>
      <c r="AA28" s="67">
        <f t="shared" ref="AA28:AA38" si="16">Y28+Z28</f>
        <v>1409</v>
      </c>
      <c r="AB28" s="21">
        <f t="shared" ref="AB28:AB41" si="17">(AA28/O28)</f>
        <v>1.1272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3104</v>
      </c>
      <c r="E29" s="70">
        <v>1632.6</v>
      </c>
      <c r="F29" s="70">
        <v>9291.2999999999993</v>
      </c>
      <c r="G29" s="71">
        <f t="shared" si="9"/>
        <v>14027.9</v>
      </c>
      <c r="H29" s="72">
        <v>2.6</v>
      </c>
      <c r="I29" s="20">
        <f t="shared" si="10"/>
        <v>14030.5</v>
      </c>
      <c r="J29" s="73">
        <v>2538</v>
      </c>
      <c r="K29" s="70"/>
      <c r="L29" s="70">
        <v>13301</v>
      </c>
      <c r="M29" s="71">
        <f t="shared" si="11"/>
        <v>15839</v>
      </c>
      <c r="N29" s="72"/>
      <c r="O29" s="20">
        <f t="shared" si="12"/>
        <v>15839</v>
      </c>
      <c r="P29" s="73">
        <v>1990</v>
      </c>
      <c r="Q29" s="70"/>
      <c r="R29" s="70">
        <v>4642.5600000000004</v>
      </c>
      <c r="S29" s="71">
        <f t="shared" si="13"/>
        <v>6632.56</v>
      </c>
      <c r="T29" s="72"/>
      <c r="U29" s="20">
        <f t="shared" si="14"/>
        <v>6632.56</v>
      </c>
      <c r="V29" s="73">
        <v>1500</v>
      </c>
      <c r="W29" s="70"/>
      <c r="X29" s="70">
        <f>16502-1500</f>
        <v>15002</v>
      </c>
      <c r="Y29" s="71">
        <f t="shared" si="15"/>
        <v>16502</v>
      </c>
      <c r="Z29" s="72"/>
      <c r="AA29" s="20">
        <f t="shared" si="16"/>
        <v>16502</v>
      </c>
      <c r="AB29" s="21">
        <f t="shared" si="17"/>
        <v>1.0418587032009596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1271</v>
      </c>
      <c r="E30" s="74">
        <v>169.2</v>
      </c>
      <c r="F30" s="74">
        <v>5922.4</v>
      </c>
      <c r="G30" s="71">
        <f t="shared" si="9"/>
        <v>7362.5999999999995</v>
      </c>
      <c r="H30" s="71"/>
      <c r="I30" s="20">
        <f t="shared" si="10"/>
        <v>7362.5999999999995</v>
      </c>
      <c r="J30" s="75">
        <v>2100</v>
      </c>
      <c r="K30" s="74">
        <v>448</v>
      </c>
      <c r="L30" s="74">
        <v>7090</v>
      </c>
      <c r="M30" s="71">
        <f t="shared" si="11"/>
        <v>9638</v>
      </c>
      <c r="N30" s="71"/>
      <c r="O30" s="20">
        <f t="shared" si="12"/>
        <v>9638</v>
      </c>
      <c r="P30" s="75">
        <v>669</v>
      </c>
      <c r="Q30" s="74">
        <v>61.21</v>
      </c>
      <c r="R30" s="74">
        <v>998.13</v>
      </c>
      <c r="S30" s="71">
        <f t="shared" si="13"/>
        <v>1728.3400000000001</v>
      </c>
      <c r="T30" s="71"/>
      <c r="U30" s="20">
        <f t="shared" si="14"/>
        <v>1728.3400000000001</v>
      </c>
      <c r="V30" s="75">
        <v>3000</v>
      </c>
      <c r="W30" s="74">
        <v>500</v>
      </c>
      <c r="X30" s="74">
        <f>10025-3500</f>
        <v>6525</v>
      </c>
      <c r="Y30" s="71">
        <f t="shared" si="15"/>
        <v>10025</v>
      </c>
      <c r="Z30" s="71"/>
      <c r="AA30" s="20">
        <f t="shared" si="16"/>
        <v>10025</v>
      </c>
      <c r="AB30" s="21">
        <f t="shared" si="17"/>
        <v>1.0401535588296327</v>
      </c>
      <c r="AC30" s="3"/>
      <c r="AD30" s="3"/>
    </row>
    <row r="31" spans="1:30" x14ac:dyDescent="0.25">
      <c r="A31" s="1"/>
      <c r="B31" s="22" t="s">
        <v>56</v>
      </c>
      <c r="C31" s="41" t="s">
        <v>57</v>
      </c>
      <c r="D31" s="74">
        <v>1458</v>
      </c>
      <c r="E31" s="74">
        <v>500.2</v>
      </c>
      <c r="F31" s="74">
        <v>4070.9</v>
      </c>
      <c r="G31" s="71">
        <f t="shared" si="9"/>
        <v>6029.1</v>
      </c>
      <c r="H31" s="71"/>
      <c r="I31" s="20">
        <f t="shared" si="10"/>
        <v>6029.1</v>
      </c>
      <c r="J31" s="75">
        <v>2003</v>
      </c>
      <c r="K31" s="74">
        <v>535</v>
      </c>
      <c r="L31" s="74">
        <v>3899</v>
      </c>
      <c r="M31" s="71">
        <f t="shared" si="11"/>
        <v>6437</v>
      </c>
      <c r="N31" s="71"/>
      <c r="O31" s="20">
        <f t="shared" si="12"/>
        <v>6437</v>
      </c>
      <c r="P31" s="75">
        <v>1565</v>
      </c>
      <c r="Q31" s="74">
        <v>203.04</v>
      </c>
      <c r="R31" s="74">
        <v>1912.07</v>
      </c>
      <c r="S31" s="71">
        <f t="shared" si="13"/>
        <v>3680.1099999999997</v>
      </c>
      <c r="T31" s="71"/>
      <c r="U31" s="20">
        <f t="shared" si="14"/>
        <v>3680.1099999999997</v>
      </c>
      <c r="V31" s="75">
        <v>4813</v>
      </c>
      <c r="W31" s="74">
        <v>500</v>
      </c>
      <c r="X31" s="74">
        <f>35+154+7892-5313</f>
        <v>2768</v>
      </c>
      <c r="Y31" s="71">
        <f t="shared" si="15"/>
        <v>8081</v>
      </c>
      <c r="Z31" s="71"/>
      <c r="AA31" s="20">
        <f t="shared" si="16"/>
        <v>8081</v>
      </c>
      <c r="AB31" s="21">
        <f t="shared" si="17"/>
        <v>1.2553984775516545</v>
      </c>
      <c r="AC31" s="3"/>
      <c r="AD31" s="3"/>
    </row>
    <row r="32" spans="1:30" x14ac:dyDescent="0.25">
      <c r="A32" s="1"/>
      <c r="B32" s="22" t="s">
        <v>58</v>
      </c>
      <c r="C32" s="41" t="s">
        <v>59</v>
      </c>
      <c r="D32" s="74">
        <v>12812</v>
      </c>
      <c r="E32" s="74">
        <v>42499.6</v>
      </c>
      <c r="F32" s="74">
        <v>23265.8</v>
      </c>
      <c r="G32" s="71">
        <f t="shared" si="9"/>
        <v>78577.399999999994</v>
      </c>
      <c r="H32" s="71">
        <v>98.8</v>
      </c>
      <c r="I32" s="20">
        <f t="shared" si="10"/>
        <v>78676.2</v>
      </c>
      <c r="J32" s="77">
        <v>19477</v>
      </c>
      <c r="K32" s="74">
        <v>29610</v>
      </c>
      <c r="L32" s="74">
        <v>24158</v>
      </c>
      <c r="M32" s="71">
        <f t="shared" si="11"/>
        <v>73245</v>
      </c>
      <c r="N32" s="71"/>
      <c r="O32" s="20">
        <f t="shared" si="12"/>
        <v>73245</v>
      </c>
      <c r="P32" s="75">
        <v>9632</v>
      </c>
      <c r="Q32" s="74">
        <v>17557.150000000001</v>
      </c>
      <c r="R32" s="74">
        <v>9304.7999999999993</v>
      </c>
      <c r="S32" s="71">
        <f t="shared" si="13"/>
        <v>36493.949999999997</v>
      </c>
      <c r="T32" s="71"/>
      <c r="U32" s="20">
        <f t="shared" si="14"/>
        <v>36493.949999999997</v>
      </c>
      <c r="V32" s="75">
        <v>13650</v>
      </c>
      <c r="W32" s="74">
        <f>36120+1520</f>
        <v>37640</v>
      </c>
      <c r="X32" s="74">
        <f>77580-12520-36120</f>
        <v>28940</v>
      </c>
      <c r="Y32" s="71">
        <f t="shared" si="15"/>
        <v>80230</v>
      </c>
      <c r="Z32" s="71"/>
      <c r="AA32" s="20">
        <f t="shared" si="16"/>
        <v>80230</v>
      </c>
      <c r="AB32" s="21">
        <f t="shared" si="17"/>
        <v>1.0953648713222746</v>
      </c>
      <c r="AC32" s="3"/>
      <c r="AD32" s="3"/>
    </row>
    <row r="33" spans="1:30" x14ac:dyDescent="0.25">
      <c r="A33" s="1"/>
      <c r="B33" s="22" t="s">
        <v>60</v>
      </c>
      <c r="C33" s="35" t="s">
        <v>61</v>
      </c>
      <c r="D33" s="74">
        <v>12812</v>
      </c>
      <c r="E33" s="74">
        <v>42288.3</v>
      </c>
      <c r="F33" s="74">
        <v>21586</v>
      </c>
      <c r="G33" s="71">
        <f t="shared" si="9"/>
        <v>76686.3</v>
      </c>
      <c r="H33" s="71"/>
      <c r="I33" s="20">
        <f t="shared" si="10"/>
        <v>76686.3</v>
      </c>
      <c r="J33" s="77">
        <v>19477</v>
      </c>
      <c r="K33" s="74">
        <v>29610</v>
      </c>
      <c r="L33" s="74">
        <v>24108</v>
      </c>
      <c r="M33" s="71">
        <f t="shared" si="11"/>
        <v>73195</v>
      </c>
      <c r="N33" s="71"/>
      <c r="O33" s="20">
        <f t="shared" si="12"/>
        <v>73195</v>
      </c>
      <c r="P33" s="75">
        <v>9632</v>
      </c>
      <c r="Q33" s="74">
        <v>17557.2</v>
      </c>
      <c r="R33" s="74">
        <v>8731.4</v>
      </c>
      <c r="S33" s="71">
        <f t="shared" si="13"/>
        <v>35920.6</v>
      </c>
      <c r="T33" s="71"/>
      <c r="U33" s="20">
        <f t="shared" si="14"/>
        <v>35920.6</v>
      </c>
      <c r="V33" s="75">
        <v>13650</v>
      </c>
      <c r="W33" s="74">
        <v>37640</v>
      </c>
      <c r="X33" s="74">
        <v>28940</v>
      </c>
      <c r="Y33" s="71">
        <f t="shared" si="15"/>
        <v>80230</v>
      </c>
      <c r="Z33" s="71"/>
      <c r="AA33" s="20">
        <f t="shared" si="16"/>
        <v>80230</v>
      </c>
      <c r="AB33" s="21">
        <f t="shared" si="17"/>
        <v>1.0961131224810439</v>
      </c>
      <c r="AC33" s="3"/>
      <c r="AD33" s="3"/>
    </row>
    <row r="34" spans="1:30" x14ac:dyDescent="0.25">
      <c r="A34" s="1"/>
      <c r="B34" s="22" t="s">
        <v>62</v>
      </c>
      <c r="C34" s="78" t="s">
        <v>63</v>
      </c>
      <c r="D34" s="74" t="s">
        <v>132</v>
      </c>
      <c r="E34" s="74">
        <v>211.3</v>
      </c>
      <c r="F34" s="74">
        <v>1679.8</v>
      </c>
      <c r="G34" s="71">
        <f t="shared" si="9"/>
        <v>1891.1</v>
      </c>
      <c r="H34" s="71">
        <v>98.8</v>
      </c>
      <c r="I34" s="20">
        <f t="shared" si="10"/>
        <v>1989.8999999999999</v>
      </c>
      <c r="J34" s="77"/>
      <c r="K34" s="74"/>
      <c r="L34" s="74">
        <v>50</v>
      </c>
      <c r="M34" s="71">
        <f t="shared" si="11"/>
        <v>50</v>
      </c>
      <c r="N34" s="71"/>
      <c r="O34" s="20">
        <f t="shared" si="12"/>
        <v>50</v>
      </c>
      <c r="P34" s="75" t="s">
        <v>132</v>
      </c>
      <c r="Q34" s="74"/>
      <c r="R34" s="74">
        <v>573.38</v>
      </c>
      <c r="S34" s="71">
        <f t="shared" si="13"/>
        <v>573.38</v>
      </c>
      <c r="T34" s="71"/>
      <c r="U34" s="20">
        <f t="shared" si="14"/>
        <v>573.38</v>
      </c>
      <c r="V34" s="75" t="s">
        <v>132</v>
      </c>
      <c r="W34" s="74"/>
      <c r="X34" s="74"/>
      <c r="Y34" s="71">
        <f t="shared" si="15"/>
        <v>0</v>
      </c>
      <c r="Z34" s="71"/>
      <c r="AA34" s="20">
        <f t="shared" si="16"/>
        <v>0</v>
      </c>
      <c r="AB34" s="21">
        <f t="shared" si="17"/>
        <v>0</v>
      </c>
      <c r="AC34" s="3"/>
      <c r="AD34" s="3"/>
    </row>
    <row r="35" spans="1:30" x14ac:dyDescent="0.25">
      <c r="A35" s="1"/>
      <c r="B35" s="22" t="s">
        <v>64</v>
      </c>
      <c r="C35" s="41" t="s">
        <v>65</v>
      </c>
      <c r="D35" s="74">
        <v>4401</v>
      </c>
      <c r="E35" s="74">
        <v>11870.4</v>
      </c>
      <c r="F35" s="74">
        <v>9624.6</v>
      </c>
      <c r="G35" s="71">
        <f t="shared" si="9"/>
        <v>25896</v>
      </c>
      <c r="H35" s="71">
        <v>8.1</v>
      </c>
      <c r="I35" s="20">
        <f t="shared" si="10"/>
        <v>25904.1</v>
      </c>
      <c r="J35" s="77">
        <v>6543</v>
      </c>
      <c r="K35" s="74">
        <v>9772.9</v>
      </c>
      <c r="L35" s="74">
        <v>8425.1</v>
      </c>
      <c r="M35" s="71">
        <f t="shared" si="11"/>
        <v>24741</v>
      </c>
      <c r="N35" s="71"/>
      <c r="O35" s="20">
        <f t="shared" si="12"/>
        <v>24741</v>
      </c>
      <c r="P35" s="75">
        <v>3162</v>
      </c>
      <c r="Q35" s="74">
        <v>493.27</v>
      </c>
      <c r="R35" s="74">
        <v>8327.75</v>
      </c>
      <c r="S35" s="71">
        <f t="shared" si="13"/>
        <v>11983.02</v>
      </c>
      <c r="T35" s="71"/>
      <c r="U35" s="20">
        <f t="shared" si="14"/>
        <v>11983.02</v>
      </c>
      <c r="V35" s="75">
        <v>4580</v>
      </c>
      <c r="W35" s="74">
        <f>12100+515</f>
        <v>12615</v>
      </c>
      <c r="X35" s="74">
        <f>26360-4065-12100</f>
        <v>10195</v>
      </c>
      <c r="Y35" s="71">
        <f t="shared" si="15"/>
        <v>27390</v>
      </c>
      <c r="Z35" s="71"/>
      <c r="AA35" s="20">
        <f t="shared" si="16"/>
        <v>27390</v>
      </c>
      <c r="AB35" s="21">
        <f t="shared" si="17"/>
        <v>1.1070692372984114</v>
      </c>
      <c r="AC35" s="3"/>
      <c r="AD35" s="3"/>
    </row>
    <row r="36" spans="1:30" x14ac:dyDescent="0.25">
      <c r="A36" s="1"/>
      <c r="B36" s="22" t="s">
        <v>66</v>
      </c>
      <c r="C36" s="41" t="s">
        <v>67</v>
      </c>
      <c r="D36" s="74" t="s">
        <v>132</v>
      </c>
      <c r="E36" s="74"/>
      <c r="F36" s="74">
        <v>0.7</v>
      </c>
      <c r="G36" s="71">
        <f t="shared" si="9"/>
        <v>0.7</v>
      </c>
      <c r="H36" s="71"/>
      <c r="I36" s="20">
        <f t="shared" si="10"/>
        <v>0.7</v>
      </c>
      <c r="J36" s="75"/>
      <c r="K36" s="74"/>
      <c r="L36" s="74"/>
      <c r="M36" s="71">
        <f t="shared" si="11"/>
        <v>0</v>
      </c>
      <c r="N36" s="71"/>
      <c r="O36" s="20">
        <f t="shared" si="12"/>
        <v>0</v>
      </c>
      <c r="P36" s="75"/>
      <c r="Q36" s="74"/>
      <c r="R36" s="74"/>
      <c r="S36" s="71">
        <f t="shared" si="13"/>
        <v>0</v>
      </c>
      <c r="T36" s="71"/>
      <c r="U36" s="20">
        <f t="shared" si="14"/>
        <v>0</v>
      </c>
      <c r="V36" s="75"/>
      <c r="W36" s="74"/>
      <c r="X36" s="74"/>
      <c r="Y36" s="71">
        <f t="shared" si="15"/>
        <v>0</v>
      </c>
      <c r="Z36" s="71"/>
      <c r="AA36" s="20">
        <f t="shared" si="16"/>
        <v>0</v>
      </c>
      <c r="AB36" s="21" t="e">
        <f t="shared" si="17"/>
        <v>#DIV/0!</v>
      </c>
      <c r="AC36" s="3"/>
      <c r="AD36" s="3"/>
    </row>
    <row r="37" spans="1:30" x14ac:dyDescent="0.25">
      <c r="A37" s="1"/>
      <c r="B37" s="22" t="s">
        <v>68</v>
      </c>
      <c r="C37" s="41" t="s">
        <v>69</v>
      </c>
      <c r="D37" s="74">
        <v>205</v>
      </c>
      <c r="E37" s="74"/>
      <c r="F37" s="74">
        <v>1180.8</v>
      </c>
      <c r="G37" s="71">
        <f t="shared" si="9"/>
        <v>1385.8</v>
      </c>
      <c r="H37" s="71"/>
      <c r="I37" s="20">
        <f t="shared" si="10"/>
        <v>1385.8</v>
      </c>
      <c r="J37" s="75">
        <v>752</v>
      </c>
      <c r="K37" s="74">
        <v>34</v>
      </c>
      <c r="L37" s="74">
        <v>612</v>
      </c>
      <c r="M37" s="71">
        <f t="shared" si="11"/>
        <v>1398</v>
      </c>
      <c r="N37" s="71"/>
      <c r="O37" s="20">
        <f t="shared" si="12"/>
        <v>1398</v>
      </c>
      <c r="P37" s="75">
        <v>527</v>
      </c>
      <c r="Q37" s="74">
        <v>10.67</v>
      </c>
      <c r="R37" s="74">
        <v>154.03</v>
      </c>
      <c r="S37" s="71">
        <f t="shared" si="13"/>
        <v>691.69999999999993</v>
      </c>
      <c r="T37" s="71"/>
      <c r="U37" s="20">
        <f t="shared" si="14"/>
        <v>691.69999999999993</v>
      </c>
      <c r="V37" s="75">
        <v>500</v>
      </c>
      <c r="W37" s="74">
        <v>25</v>
      </c>
      <c r="X37" s="74">
        <f>1141-525</f>
        <v>616</v>
      </c>
      <c r="Y37" s="71">
        <f t="shared" si="15"/>
        <v>1141</v>
      </c>
      <c r="Z37" s="71"/>
      <c r="AA37" s="20">
        <f t="shared" si="16"/>
        <v>1141</v>
      </c>
      <c r="AB37" s="21">
        <f t="shared" si="17"/>
        <v>0.81616595135908443</v>
      </c>
      <c r="AC37" s="3"/>
      <c r="AD37" s="3"/>
    </row>
    <row r="38" spans="1:30" ht="15.75" thickBot="1" x14ac:dyDescent="0.3">
      <c r="A38" s="1"/>
      <c r="B38" s="79" t="s">
        <v>70</v>
      </c>
      <c r="C38" s="80" t="s">
        <v>71</v>
      </c>
      <c r="D38" s="81">
        <v>828</v>
      </c>
      <c r="E38" s="81">
        <v>149</v>
      </c>
      <c r="F38" s="81">
        <v>3615.1</v>
      </c>
      <c r="G38" s="71">
        <f t="shared" si="9"/>
        <v>4592.1000000000004</v>
      </c>
      <c r="H38" s="82"/>
      <c r="I38" s="50">
        <f t="shared" si="10"/>
        <v>4592.1000000000004</v>
      </c>
      <c r="J38" s="83">
        <f>665.9+819.1</f>
        <v>1485</v>
      </c>
      <c r="K38" s="81">
        <v>186</v>
      </c>
      <c r="L38" s="81">
        <v>2919.9</v>
      </c>
      <c r="M38" s="82">
        <f t="shared" si="11"/>
        <v>4590.8999999999996</v>
      </c>
      <c r="N38" s="82"/>
      <c r="O38" s="50">
        <f t="shared" si="12"/>
        <v>4590.8999999999996</v>
      </c>
      <c r="P38" s="83">
        <v>620</v>
      </c>
      <c r="Q38" s="81">
        <v>90.98</v>
      </c>
      <c r="R38" s="81">
        <v>1187.1600000000001</v>
      </c>
      <c r="S38" s="82">
        <f t="shared" si="13"/>
        <v>1898.14</v>
      </c>
      <c r="T38" s="82"/>
      <c r="U38" s="50">
        <f t="shared" si="14"/>
        <v>1898.14</v>
      </c>
      <c r="V38" s="83">
        <v>237</v>
      </c>
      <c r="W38" s="81"/>
      <c r="X38" s="81">
        <f>325+2637+532+1874-150</f>
        <v>5218</v>
      </c>
      <c r="Y38" s="82">
        <f t="shared" si="15"/>
        <v>5455</v>
      </c>
      <c r="Z38" s="82"/>
      <c r="AA38" s="50">
        <f t="shared" si="16"/>
        <v>5455</v>
      </c>
      <c r="AB38" s="51">
        <f t="shared" si="17"/>
        <v>1.1882201746934153</v>
      </c>
      <c r="AC38" s="3"/>
      <c r="AD38" s="3"/>
    </row>
    <row r="39" spans="1:30" ht="15.75" thickBot="1" x14ac:dyDescent="0.3">
      <c r="A39" s="1"/>
      <c r="B39" s="52" t="s">
        <v>72</v>
      </c>
      <c r="C39" s="84" t="s">
        <v>73</v>
      </c>
      <c r="D39" s="85">
        <f>SUM(D35:D38)+SUM(D28:D32)</f>
        <v>24382</v>
      </c>
      <c r="E39" s="85">
        <f>SUM(E35:E38)+SUM(E28:E32)</f>
        <v>56821</v>
      </c>
      <c r="F39" s="85">
        <f>SUM(F35:F38)+SUM(F28:F32)</f>
        <v>57487.7</v>
      </c>
      <c r="G39" s="86">
        <f t="shared" si="9"/>
        <v>138690.70000000001</v>
      </c>
      <c r="H39" s="87">
        <f>SUM(H28:H32)+SUM(H35:H38)</f>
        <v>109.49999999999999</v>
      </c>
      <c r="I39" s="88">
        <f>SUM(I35:I38)+SUM(I28:I32)</f>
        <v>138800.20000000001</v>
      </c>
      <c r="J39" s="85">
        <f>SUM(J35:J38)+SUM(J28:J32)</f>
        <v>35323</v>
      </c>
      <c r="K39" s="85">
        <f>SUM(K35:K38)+SUM(K28:K32)</f>
        <v>40620.9</v>
      </c>
      <c r="L39" s="85">
        <f>SUM(L35:L38)+SUM(L28:L32)</f>
        <v>61195</v>
      </c>
      <c r="M39" s="86">
        <f t="shared" si="11"/>
        <v>137138.9</v>
      </c>
      <c r="N39" s="87">
        <f>SUM(N28:N32)+SUM(N35:N38)</f>
        <v>0</v>
      </c>
      <c r="O39" s="88">
        <f>SUM(O35:O38)+SUM(O28:O32)</f>
        <v>137138.9</v>
      </c>
      <c r="P39" s="85">
        <f>SUM(P35:P38)+SUM(P28:P32)</f>
        <v>18273</v>
      </c>
      <c r="Q39" s="85">
        <f>SUM(Q35:Q38)+SUM(Q28:Q32)</f>
        <v>18428.59</v>
      </c>
      <c r="R39" s="85">
        <f>SUM(R35:R38)+SUM(R28:R32)</f>
        <v>27118.949999999997</v>
      </c>
      <c r="S39" s="86">
        <f t="shared" si="13"/>
        <v>63820.539999999994</v>
      </c>
      <c r="T39" s="87">
        <f>SUM(T28:T32)+SUM(T35:T38)</f>
        <v>0</v>
      </c>
      <c r="U39" s="88">
        <f>SUM(U35:U38)+SUM(U28:U32)</f>
        <v>63820.539999999994</v>
      </c>
      <c r="V39" s="85">
        <f>SUM(V35:V38)+SUM(V28:V32)</f>
        <v>28580</v>
      </c>
      <c r="W39" s="85">
        <f>SUM(W35:W38)+SUM(W28:W32)</f>
        <v>51320</v>
      </c>
      <c r="X39" s="85">
        <f>SUM(X35:X38)+SUM(X28:X32)</f>
        <v>70333</v>
      </c>
      <c r="Y39" s="86">
        <f t="shared" si="15"/>
        <v>150233</v>
      </c>
      <c r="Z39" s="87">
        <f>SUM(Z28:Z32)+SUM(Z35:Z38)</f>
        <v>0</v>
      </c>
      <c r="AA39" s="88">
        <f>SUM(AA35:AA38)+SUM(AA28:AA32)</f>
        <v>150233</v>
      </c>
      <c r="AB39" s="89">
        <f t="shared" si="17"/>
        <v>1.0954805675122086</v>
      </c>
      <c r="AC39" s="3"/>
      <c r="AD39" s="3"/>
    </row>
    <row r="40" spans="1:30" ht="19.5" thickBot="1" x14ac:dyDescent="0.35">
      <c r="A40" s="1"/>
      <c r="B40" s="90" t="s">
        <v>74</v>
      </c>
      <c r="C40" s="91" t="s">
        <v>75</v>
      </c>
      <c r="D40" s="92">
        <f t="shared" ref="D40:AA40" si="18">D24-D39</f>
        <v>2500</v>
      </c>
      <c r="E40" s="92">
        <f t="shared" si="18"/>
        <v>0</v>
      </c>
      <c r="F40" s="92">
        <f t="shared" si="18"/>
        <v>-13.399999999994179</v>
      </c>
      <c r="G40" s="93">
        <f t="shared" si="18"/>
        <v>2486.5999999999767</v>
      </c>
      <c r="H40" s="93">
        <f t="shared" si="18"/>
        <v>25.000000000000014</v>
      </c>
      <c r="I40" s="94">
        <f t="shared" si="18"/>
        <v>2511.5999999999767</v>
      </c>
      <c r="J40" s="92">
        <f t="shared" si="18"/>
        <v>0</v>
      </c>
      <c r="K40" s="92">
        <f t="shared" si="18"/>
        <v>0</v>
      </c>
      <c r="L40" s="92">
        <f t="shared" si="18"/>
        <v>0</v>
      </c>
      <c r="M40" s="93">
        <f t="shared" si="18"/>
        <v>0</v>
      </c>
      <c r="N40" s="93">
        <f t="shared" si="18"/>
        <v>0</v>
      </c>
      <c r="O40" s="94">
        <f t="shared" si="18"/>
        <v>0</v>
      </c>
      <c r="P40" s="92">
        <f t="shared" si="18"/>
        <v>0</v>
      </c>
      <c r="Q40" s="92">
        <f t="shared" si="18"/>
        <v>18872.710000000003</v>
      </c>
      <c r="R40" s="92">
        <f t="shared" si="18"/>
        <v>9461.1500000000015</v>
      </c>
      <c r="S40" s="93">
        <f t="shared" si="18"/>
        <v>28333.86</v>
      </c>
      <c r="T40" s="93">
        <f t="shared" si="18"/>
        <v>8.8000000000000007</v>
      </c>
      <c r="U40" s="94">
        <f t="shared" si="18"/>
        <v>28342.660000000018</v>
      </c>
      <c r="V40" s="92">
        <f t="shared" si="18"/>
        <v>0</v>
      </c>
      <c r="W40" s="92">
        <f t="shared" si="18"/>
        <v>0</v>
      </c>
      <c r="X40" s="92">
        <f t="shared" si="18"/>
        <v>0</v>
      </c>
      <c r="Y40" s="93">
        <f t="shared" si="18"/>
        <v>0</v>
      </c>
      <c r="Z40" s="93">
        <f t="shared" si="18"/>
        <v>0</v>
      </c>
      <c r="AA40" s="94">
        <f t="shared" si="18"/>
        <v>0</v>
      </c>
      <c r="AB40" s="95" t="e">
        <f t="shared" si="17"/>
        <v>#DIV/0!</v>
      </c>
      <c r="AC40" s="3"/>
      <c r="AD40" s="3"/>
    </row>
    <row r="41" spans="1:30" ht="15.75" thickBot="1" x14ac:dyDescent="0.3">
      <c r="A41" s="1"/>
      <c r="B41" s="96" t="s">
        <v>76</v>
      </c>
      <c r="C41" s="97" t="s">
        <v>77</v>
      </c>
      <c r="D41" s="98"/>
      <c r="E41" s="99"/>
      <c r="F41" s="99"/>
      <c r="G41" s="100"/>
      <c r="H41" s="101"/>
      <c r="I41" s="102">
        <f>I40-D16</f>
        <v>-24370.400000000023</v>
      </c>
      <c r="J41" s="98"/>
      <c r="K41" s="99"/>
      <c r="L41" s="99"/>
      <c r="M41" s="100"/>
      <c r="N41" s="103"/>
      <c r="O41" s="102">
        <f>O40-J16</f>
        <v>-35323</v>
      </c>
      <c r="P41" s="98"/>
      <c r="Q41" s="99"/>
      <c r="R41" s="99"/>
      <c r="S41" s="100"/>
      <c r="T41" s="103"/>
      <c r="U41" s="102">
        <f>U40-P16</f>
        <v>10069.660000000018</v>
      </c>
      <c r="V41" s="98"/>
      <c r="W41" s="99"/>
      <c r="X41" s="99"/>
      <c r="Y41" s="100"/>
      <c r="Z41" s="103"/>
      <c r="AA41" s="102">
        <f>AA40-V16</f>
        <v>-28580</v>
      </c>
      <c r="AB41" s="21">
        <f t="shared" si="17"/>
        <v>0.80910454944370525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928" t="s">
        <v>78</v>
      </c>
      <c r="D43" s="112" t="s">
        <v>79</v>
      </c>
      <c r="E43" s="113" t="s">
        <v>80</v>
      </c>
      <c r="F43" s="114" t="s">
        <v>81</v>
      </c>
      <c r="G43" s="108"/>
      <c r="H43" s="108"/>
      <c r="I43" s="115"/>
      <c r="J43" s="112" t="s">
        <v>79</v>
      </c>
      <c r="K43" s="113" t="s">
        <v>80</v>
      </c>
      <c r="L43" s="114" t="s">
        <v>81</v>
      </c>
      <c r="M43" s="108"/>
      <c r="N43" s="108"/>
      <c r="O43" s="108"/>
      <c r="P43" s="112" t="s">
        <v>79</v>
      </c>
      <c r="Q43" s="113" t="s">
        <v>80</v>
      </c>
      <c r="R43" s="114" t="s">
        <v>81</v>
      </c>
      <c r="S43" s="109"/>
      <c r="T43" s="109"/>
      <c r="U43" s="109"/>
      <c r="V43" s="112" t="s">
        <v>79</v>
      </c>
      <c r="W43" s="113" t="s">
        <v>80</v>
      </c>
      <c r="X43" s="114" t="s">
        <v>81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929"/>
      <c r="D44" s="116">
        <v>2500</v>
      </c>
      <c r="E44" s="117">
        <v>2500</v>
      </c>
      <c r="F44" s="118">
        <v>0</v>
      </c>
      <c r="G44" s="108"/>
      <c r="H44" s="108"/>
      <c r="I44" s="115"/>
      <c r="J44" s="116"/>
      <c r="K44" s="117"/>
      <c r="L44" s="118">
        <v>0</v>
      </c>
      <c r="M44" s="119"/>
      <c r="N44" s="119"/>
      <c r="O44" s="119"/>
      <c r="P44" s="116"/>
      <c r="Q44" s="117"/>
      <c r="R44" s="118">
        <v>0</v>
      </c>
      <c r="S44" s="3"/>
      <c r="T44" s="3"/>
      <c r="U44" s="3"/>
      <c r="V44" s="116"/>
      <c r="W44" s="117"/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928" t="s">
        <v>82</v>
      </c>
      <c r="D46" s="120" t="s">
        <v>83</v>
      </c>
      <c r="E46" s="121" t="s">
        <v>84</v>
      </c>
      <c r="F46" s="108"/>
      <c r="G46" s="108"/>
      <c r="H46" s="108"/>
      <c r="I46" s="115"/>
      <c r="J46" s="120" t="s">
        <v>83</v>
      </c>
      <c r="K46" s="121" t="s">
        <v>84</v>
      </c>
      <c r="L46" s="122"/>
      <c r="M46" s="122"/>
      <c r="N46" s="109"/>
      <c r="O46" s="109"/>
      <c r="P46" s="120" t="s">
        <v>83</v>
      </c>
      <c r="Q46" s="121" t="s">
        <v>84</v>
      </c>
      <c r="R46" s="109"/>
      <c r="S46" s="109"/>
      <c r="T46" s="109"/>
      <c r="U46" s="109"/>
      <c r="V46" s="120" t="s">
        <v>83</v>
      </c>
      <c r="W46" s="121" t="s">
        <v>84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930"/>
      <c r="D47" s="116">
        <v>0</v>
      </c>
      <c r="E47" s="124">
        <v>0</v>
      </c>
      <c r="F47" s="108"/>
      <c r="G47" s="108"/>
      <c r="H47" s="108"/>
      <c r="I47" s="115"/>
      <c r="J47" s="116">
        <v>2500</v>
      </c>
      <c r="K47" s="124">
        <v>0</v>
      </c>
      <c r="L47" s="125"/>
      <c r="M47" s="125"/>
      <c r="N47" s="3"/>
      <c r="O47" s="3"/>
      <c r="P47" s="116">
        <v>2500</v>
      </c>
      <c r="Q47" s="124">
        <v>0</v>
      </c>
      <c r="R47" s="3"/>
      <c r="S47" s="3"/>
      <c r="T47" s="3"/>
      <c r="U47" s="3"/>
      <c r="V47" s="116">
        <v>2500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85</v>
      </c>
      <c r="D49" s="127" t="s">
        <v>86</v>
      </c>
      <c r="E49" s="127" t="s">
        <v>87</v>
      </c>
      <c r="F49" s="127" t="s">
        <v>88</v>
      </c>
      <c r="G49" s="127" t="s">
        <v>89</v>
      </c>
      <c r="H49" s="108"/>
      <c r="I49" s="3"/>
      <c r="J49" s="127" t="s">
        <v>86</v>
      </c>
      <c r="K49" s="127" t="s">
        <v>87</v>
      </c>
      <c r="L49" s="127" t="s">
        <v>88</v>
      </c>
      <c r="M49" s="127" t="s">
        <v>90</v>
      </c>
      <c r="N49" s="3"/>
      <c r="O49" s="3"/>
      <c r="P49" s="127" t="s">
        <v>86</v>
      </c>
      <c r="Q49" s="127" t="s">
        <v>87</v>
      </c>
      <c r="R49" s="127" t="s">
        <v>88</v>
      </c>
      <c r="S49" s="127" t="s">
        <v>90</v>
      </c>
      <c r="T49" s="3"/>
      <c r="U49" s="3"/>
      <c r="V49" s="127" t="s">
        <v>92</v>
      </c>
      <c r="W49" s="127" t="s">
        <v>87</v>
      </c>
      <c r="X49" s="127" t="s">
        <v>88</v>
      </c>
      <c r="Y49" s="127" t="s">
        <v>90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/>
      <c r="E50" s="129"/>
      <c r="F50" s="129"/>
      <c r="G50" s="130">
        <f>D50+E50-F50</f>
        <v>0</v>
      </c>
      <c r="H50" s="108"/>
      <c r="I50" s="3"/>
      <c r="J50" s="129"/>
      <c r="K50" s="129"/>
      <c r="L50" s="129"/>
      <c r="M50" s="130">
        <f>J50+K50-L50</f>
        <v>0</v>
      </c>
      <c r="N50" s="3"/>
      <c r="O50" s="3"/>
      <c r="P50" s="129"/>
      <c r="Q50" s="129"/>
      <c r="R50" s="129"/>
      <c r="S50" s="130">
        <f>P50+Q50-R50</f>
        <v>0</v>
      </c>
      <c r="T50" s="3"/>
      <c r="U50" s="3"/>
      <c r="V50" s="129"/>
      <c r="W50" s="129"/>
      <c r="X50" s="129"/>
      <c r="Y50" s="13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3436.4</v>
      </c>
      <c r="E51" s="129">
        <v>683.4</v>
      </c>
      <c r="F51" s="129">
        <v>3361.5</v>
      </c>
      <c r="G51" s="130">
        <f>D51+E51-F51</f>
        <v>758.30000000000018</v>
      </c>
      <c r="H51" s="108"/>
      <c r="I51" s="3"/>
      <c r="J51" s="129">
        <v>101.9</v>
      </c>
      <c r="K51" s="129">
        <v>0</v>
      </c>
      <c r="L51" s="129">
        <v>0</v>
      </c>
      <c r="M51" s="130">
        <f>J51+K51-L51</f>
        <v>101.9</v>
      </c>
      <c r="N51" s="3"/>
      <c r="O51" s="3"/>
      <c r="P51" s="129">
        <v>758.3</v>
      </c>
      <c r="Q51" s="129">
        <v>12.3</v>
      </c>
      <c r="R51" s="129">
        <v>651.1</v>
      </c>
      <c r="S51" s="130">
        <f>P51+Q51-R51</f>
        <v>119.49999999999989</v>
      </c>
      <c r="T51" s="3"/>
      <c r="U51" s="3"/>
      <c r="V51" s="129">
        <v>119.5</v>
      </c>
      <c r="W51" s="129"/>
      <c r="X51" s="129"/>
      <c r="Y51" s="130">
        <f>V51+W51-X51</f>
        <v>119.5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759.3</v>
      </c>
      <c r="E52" s="129">
        <v>1317.2</v>
      </c>
      <c r="F52" s="129">
        <v>551.29999999999995</v>
      </c>
      <c r="G52" s="130">
        <f>D52+E52-F52</f>
        <v>1525.2</v>
      </c>
      <c r="H52" s="108"/>
      <c r="I52" s="3"/>
      <c r="J52" s="129">
        <v>825.8</v>
      </c>
      <c r="K52" s="129">
        <v>1147</v>
      </c>
      <c r="L52" s="129">
        <v>450</v>
      </c>
      <c r="M52" s="130">
        <f>J52+K52-L52</f>
        <v>1522.8</v>
      </c>
      <c r="N52" s="3"/>
      <c r="O52" s="3"/>
      <c r="P52" s="129">
        <v>1525.2</v>
      </c>
      <c r="Q52" s="129">
        <v>657.4</v>
      </c>
      <c r="R52" s="129">
        <v>1598.5</v>
      </c>
      <c r="S52" s="130">
        <f>P52+Q52-R52</f>
        <v>584.09999999999991</v>
      </c>
      <c r="T52" s="3"/>
      <c r="U52" s="3"/>
      <c r="V52" s="129">
        <v>584.1</v>
      </c>
      <c r="W52" s="129">
        <v>1141</v>
      </c>
      <c r="X52" s="129">
        <v>1200</v>
      </c>
      <c r="Y52" s="130">
        <f>V52+W52-X52</f>
        <v>525.09999999999991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109.6</v>
      </c>
      <c r="E53" s="129">
        <v>0</v>
      </c>
      <c r="F53" s="129">
        <v>0</v>
      </c>
      <c r="G53" s="130">
        <f>D53+E53-F53</f>
        <v>109.6</v>
      </c>
      <c r="H53" s="108"/>
      <c r="I53" s="3"/>
      <c r="J53" s="129">
        <v>109.6</v>
      </c>
      <c r="K53" s="129">
        <v>0</v>
      </c>
      <c r="L53" s="129">
        <v>0</v>
      </c>
      <c r="M53" s="130">
        <f>J53+K53-L53</f>
        <v>109.6</v>
      </c>
      <c r="N53" s="3"/>
      <c r="O53" s="3"/>
      <c r="P53" s="129">
        <v>109.6</v>
      </c>
      <c r="Q53" s="129">
        <v>0</v>
      </c>
      <c r="R53" s="129">
        <v>0</v>
      </c>
      <c r="S53" s="130">
        <f>P53+Q53-R53</f>
        <v>109.6</v>
      </c>
      <c r="T53" s="3"/>
      <c r="U53" s="3"/>
      <c r="V53" s="129">
        <v>109.6</v>
      </c>
      <c r="W53" s="129">
        <v>0</v>
      </c>
      <c r="X53" s="129">
        <v>0</v>
      </c>
      <c r="Y53" s="130">
        <f>V53+W53-X53</f>
        <v>109.6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3" t="s">
        <v>97</v>
      </c>
      <c r="D54" s="129">
        <v>505.5</v>
      </c>
      <c r="E54" s="129">
        <v>1540.9</v>
      </c>
      <c r="F54" s="129">
        <v>1550.1</v>
      </c>
      <c r="G54" s="130">
        <f>D54+E54-F54</f>
        <v>496.30000000000018</v>
      </c>
      <c r="H54" s="108"/>
      <c r="I54" s="3"/>
      <c r="J54" s="129">
        <v>394.2</v>
      </c>
      <c r="K54" s="129">
        <v>1392</v>
      </c>
      <c r="L54" s="129">
        <v>1300</v>
      </c>
      <c r="M54" s="130">
        <f>J54+K54-L54</f>
        <v>486.20000000000005</v>
      </c>
      <c r="N54" s="3"/>
      <c r="O54" s="3"/>
      <c r="P54" s="129">
        <v>496.3</v>
      </c>
      <c r="Q54" s="129">
        <v>730.4</v>
      </c>
      <c r="R54" s="129">
        <v>609.20000000000005</v>
      </c>
      <c r="S54" s="130">
        <f>P54+Q54-R54</f>
        <v>617.5</v>
      </c>
      <c r="T54" s="3"/>
      <c r="U54" s="3"/>
      <c r="V54" s="129">
        <v>617.5</v>
      </c>
      <c r="W54" s="129">
        <v>1569</v>
      </c>
      <c r="X54" s="129">
        <v>1600</v>
      </c>
      <c r="Y54" s="130">
        <f>V54+W54-X54</f>
        <v>586.5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4">
        <v>197.9</v>
      </c>
      <c r="E57" s="134">
        <v>192.5</v>
      </c>
      <c r="F57" s="108"/>
      <c r="G57" s="108"/>
      <c r="H57" s="108"/>
      <c r="I57" s="115"/>
      <c r="J57" s="134">
        <v>198</v>
      </c>
      <c r="K57" s="108"/>
      <c r="L57" s="108"/>
      <c r="M57" s="108"/>
      <c r="N57" s="108"/>
      <c r="O57" s="115"/>
      <c r="P57" s="134">
        <v>197.9</v>
      </c>
      <c r="Q57" s="115"/>
      <c r="R57" s="115"/>
      <c r="S57" s="115"/>
      <c r="T57" s="115"/>
      <c r="U57" s="115"/>
      <c r="V57" s="134">
        <v>201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5" t="s">
        <v>103</v>
      </c>
      <c r="C59" s="136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  <c r="O59" s="931"/>
      <c r="P59" s="931"/>
      <c r="Q59" s="931"/>
      <c r="R59" s="931"/>
      <c r="S59" s="931"/>
      <c r="T59" s="931"/>
      <c r="U59" s="931"/>
      <c r="V59" s="137"/>
      <c r="W59" s="137"/>
      <c r="X59" s="137"/>
      <c r="Y59" s="137"/>
      <c r="Z59" s="137"/>
      <c r="AA59" s="137"/>
      <c r="AB59" s="138"/>
      <c r="AC59" s="3"/>
      <c r="AD59" s="3"/>
    </row>
    <row r="60" spans="1:30" x14ac:dyDescent="0.25">
      <c r="A60" s="1"/>
      <c r="B60" s="139" t="s">
        <v>131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0"/>
      <c r="AC60" s="3"/>
      <c r="AD60" s="3"/>
    </row>
    <row r="61" spans="1:30" x14ac:dyDescent="0.25">
      <c r="A61" s="1"/>
      <c r="B61" s="925" t="s">
        <v>130</v>
      </c>
      <c r="C61" s="921"/>
      <c r="D61" s="921"/>
      <c r="E61" s="921"/>
      <c r="F61" s="921"/>
      <c r="G61" s="921"/>
      <c r="H61" s="921"/>
      <c r="I61" s="921"/>
      <c r="J61" s="921"/>
      <c r="K61" s="921"/>
      <c r="L61" s="921"/>
      <c r="M61" s="921"/>
      <c r="N61" s="921"/>
      <c r="O61" s="921"/>
      <c r="P61" s="921"/>
      <c r="Q61" s="921"/>
      <c r="R61" s="921"/>
      <c r="S61" s="921"/>
      <c r="T61" s="921"/>
      <c r="U61" s="921"/>
      <c r="V61" s="110"/>
      <c r="W61" s="110"/>
      <c r="X61" s="110"/>
      <c r="Y61" s="110"/>
      <c r="Z61" s="110"/>
      <c r="AA61" s="110"/>
      <c r="AB61" s="140"/>
      <c r="AC61" s="3"/>
      <c r="AD61" s="3"/>
    </row>
    <row r="62" spans="1:30" x14ac:dyDescent="0.25">
      <c r="A62" s="1"/>
      <c r="B62" s="923" t="s">
        <v>129</v>
      </c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110"/>
      <c r="W62" s="110"/>
      <c r="X62" s="110"/>
      <c r="Y62" s="110"/>
      <c r="Z62" s="110"/>
      <c r="AA62" s="110"/>
      <c r="AB62" s="140"/>
      <c r="AC62" s="3"/>
      <c r="AD62" s="3"/>
    </row>
    <row r="63" spans="1:30" x14ac:dyDescent="0.25">
      <c r="A63" s="1"/>
      <c r="B63" s="923" t="s">
        <v>128</v>
      </c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110"/>
      <c r="W63" s="110"/>
      <c r="X63" s="110"/>
      <c r="Y63" s="110"/>
      <c r="Z63" s="110"/>
      <c r="AA63" s="110"/>
      <c r="AB63" s="140"/>
      <c r="AC63" s="3"/>
      <c r="AD63" s="3"/>
    </row>
    <row r="64" spans="1:30" x14ac:dyDescent="0.25">
      <c r="A64" s="1"/>
      <c r="B64" s="163" t="s">
        <v>127</v>
      </c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10"/>
      <c r="W64" s="110"/>
      <c r="X64" s="110"/>
      <c r="Y64" s="110"/>
      <c r="Z64" s="110"/>
      <c r="AA64" s="110"/>
      <c r="AB64" s="140"/>
      <c r="AC64" s="3"/>
      <c r="AD64" s="3"/>
    </row>
    <row r="65" spans="1:30" x14ac:dyDescent="0.25">
      <c r="A65" s="1"/>
      <c r="B65" s="163" t="s">
        <v>126</v>
      </c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10"/>
      <c r="W65" s="110"/>
      <c r="X65" s="110"/>
      <c r="Y65" s="110"/>
      <c r="Z65" s="110"/>
      <c r="AA65" s="110"/>
      <c r="AB65" s="140"/>
      <c r="AC65" s="3"/>
      <c r="AD65" s="3"/>
    </row>
    <row r="66" spans="1:30" x14ac:dyDescent="0.25">
      <c r="A66" s="1"/>
      <c r="B66" s="163" t="s">
        <v>125</v>
      </c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10"/>
      <c r="W66" s="110"/>
      <c r="X66" s="110"/>
      <c r="Y66" s="110"/>
      <c r="Z66" s="110"/>
      <c r="AA66" s="110"/>
      <c r="AB66" s="140"/>
      <c r="AC66" s="3"/>
      <c r="AD66" s="3"/>
    </row>
    <row r="67" spans="1:30" x14ac:dyDescent="0.25">
      <c r="A67" s="1"/>
      <c r="B67" s="141" t="s">
        <v>124</v>
      </c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10"/>
      <c r="W67" s="110"/>
      <c r="X67" s="110"/>
      <c r="Y67" s="110"/>
      <c r="Z67" s="110"/>
      <c r="AA67" s="110"/>
      <c r="AB67" s="140"/>
      <c r="AC67" s="3"/>
      <c r="AD67" s="3"/>
    </row>
    <row r="68" spans="1:30" x14ac:dyDescent="0.25">
      <c r="A68" s="1"/>
      <c r="B68" s="163" t="s">
        <v>123</v>
      </c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10"/>
      <c r="W68" s="110"/>
      <c r="X68" s="110"/>
      <c r="Y68" s="110"/>
      <c r="Z68" s="110"/>
      <c r="AA68" s="110"/>
      <c r="AB68" s="140"/>
      <c r="AC68" s="3"/>
      <c r="AD68" s="3"/>
    </row>
    <row r="69" spans="1:30" x14ac:dyDescent="0.25">
      <c r="A69" s="1"/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10"/>
      <c r="W69" s="110"/>
      <c r="X69" s="110"/>
      <c r="Y69" s="110"/>
      <c r="Z69" s="110"/>
      <c r="AA69" s="110"/>
      <c r="AB69" s="140"/>
      <c r="AC69" s="3"/>
      <c r="AD69" s="3"/>
    </row>
    <row r="70" spans="1:30" x14ac:dyDescent="0.25">
      <c r="A70" s="1"/>
      <c r="B70" s="141" t="s">
        <v>122</v>
      </c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10"/>
      <c r="W70" s="110"/>
      <c r="X70" s="110"/>
      <c r="Y70" s="110"/>
      <c r="Z70" s="110"/>
      <c r="AA70" s="110"/>
      <c r="AB70" s="140"/>
      <c r="AC70" s="3"/>
      <c r="AD70" s="3"/>
    </row>
    <row r="71" spans="1:30" x14ac:dyDescent="0.25">
      <c r="A71" s="1"/>
      <c r="B71" s="163" t="s">
        <v>121</v>
      </c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10"/>
      <c r="W71" s="110"/>
      <c r="X71" s="110"/>
      <c r="Y71" s="110"/>
      <c r="Z71" s="110"/>
      <c r="AA71" s="110"/>
      <c r="AB71" s="140"/>
      <c r="AC71" s="3"/>
      <c r="AD71" s="3"/>
    </row>
    <row r="72" spans="1:30" x14ac:dyDescent="0.25">
      <c r="A72" s="1"/>
      <c r="B72" s="163" t="s">
        <v>120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10"/>
      <c r="W72" s="110"/>
      <c r="X72" s="110"/>
      <c r="Y72" s="110"/>
      <c r="Z72" s="110"/>
      <c r="AA72" s="110"/>
      <c r="AB72" s="140"/>
      <c r="AC72" s="3"/>
      <c r="AD72" s="3"/>
    </row>
    <row r="73" spans="1:30" x14ac:dyDescent="0.25">
      <c r="A73" s="1"/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10"/>
      <c r="W73" s="110"/>
      <c r="X73" s="110"/>
      <c r="Y73" s="110"/>
      <c r="Z73" s="110"/>
      <c r="AA73" s="110"/>
      <c r="AB73" s="140"/>
      <c r="AC73" s="3"/>
      <c r="AD73" s="3"/>
    </row>
    <row r="74" spans="1:30" x14ac:dyDescent="0.25">
      <c r="A74" s="1"/>
      <c r="B74" s="163" t="s">
        <v>119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10"/>
      <c r="W74" s="110"/>
      <c r="X74" s="110"/>
      <c r="Y74" s="110"/>
      <c r="Z74" s="110"/>
      <c r="AA74" s="110"/>
      <c r="AB74" s="140"/>
      <c r="AC74" s="3"/>
      <c r="AD74" s="3"/>
    </row>
    <row r="75" spans="1:30" x14ac:dyDescent="0.25">
      <c r="A75" s="1"/>
      <c r="B75" s="163" t="s">
        <v>118</v>
      </c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10"/>
      <c r="W75" s="110"/>
      <c r="X75" s="110"/>
      <c r="Y75" s="110"/>
      <c r="Z75" s="110"/>
      <c r="AA75" s="110"/>
      <c r="AB75" s="140"/>
      <c r="AC75" s="3"/>
      <c r="AD75" s="3"/>
    </row>
    <row r="76" spans="1:30" x14ac:dyDescent="0.25">
      <c r="A76" s="1"/>
      <c r="B76" s="163" t="s">
        <v>117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10"/>
      <c r="W76" s="110"/>
      <c r="X76" s="110"/>
      <c r="Y76" s="110"/>
      <c r="Z76" s="110"/>
      <c r="AA76" s="110"/>
      <c r="AB76" s="140"/>
      <c r="AC76" s="3"/>
      <c r="AD76" s="3"/>
    </row>
    <row r="77" spans="1:30" x14ac:dyDescent="0.25">
      <c r="A77" s="1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10"/>
      <c r="W77" s="110"/>
      <c r="X77" s="110"/>
      <c r="Y77" s="110"/>
      <c r="Z77" s="110"/>
      <c r="AA77" s="110"/>
      <c r="AB77" s="140"/>
      <c r="AC77" s="3"/>
      <c r="AD77" s="3"/>
    </row>
    <row r="78" spans="1:30" x14ac:dyDescent="0.25">
      <c r="A78" s="1"/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10"/>
      <c r="W78" s="110"/>
      <c r="X78" s="110"/>
      <c r="Y78" s="110"/>
      <c r="Z78" s="110"/>
      <c r="AA78" s="110"/>
      <c r="AB78" s="140"/>
      <c r="AC78" s="3"/>
      <c r="AD78" s="3"/>
    </row>
    <row r="79" spans="1:30" x14ac:dyDescent="0.25">
      <c r="A79" s="1"/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10"/>
      <c r="W79" s="110"/>
      <c r="X79" s="110"/>
      <c r="Y79" s="110"/>
      <c r="Z79" s="110"/>
      <c r="AA79" s="110"/>
      <c r="AB79" s="140"/>
      <c r="AC79" s="3"/>
      <c r="AD79" s="3"/>
    </row>
    <row r="80" spans="1:30" x14ac:dyDescent="0.25">
      <c r="A80" s="1"/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10"/>
      <c r="W80" s="110"/>
      <c r="X80" s="110"/>
      <c r="Y80" s="110"/>
      <c r="Z80" s="110"/>
      <c r="AA80" s="110"/>
      <c r="AB80" s="140"/>
      <c r="AC80" s="3"/>
      <c r="AD80" s="3"/>
    </row>
    <row r="81" spans="1:30" x14ac:dyDescent="0.25">
      <c r="A81" s="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10"/>
      <c r="W81" s="110"/>
      <c r="X81" s="110"/>
      <c r="Y81" s="110"/>
      <c r="Z81" s="110"/>
      <c r="AA81" s="110"/>
      <c r="AB81" s="140"/>
      <c r="AC81" s="3"/>
      <c r="AD81" s="3"/>
    </row>
    <row r="82" spans="1:30" x14ac:dyDescent="0.25">
      <c r="A82" s="1"/>
      <c r="B82" s="925"/>
      <c r="C82" s="921"/>
      <c r="D82" s="921"/>
      <c r="E82" s="921"/>
      <c r="F82" s="921"/>
      <c r="G82" s="921"/>
      <c r="H82" s="921"/>
      <c r="I82" s="921"/>
      <c r="J82" s="921"/>
      <c r="K82" s="921"/>
      <c r="L82" s="921"/>
      <c r="M82" s="921"/>
      <c r="N82" s="921"/>
      <c r="O82" s="921"/>
      <c r="P82" s="921"/>
      <c r="Q82" s="921"/>
      <c r="R82" s="921"/>
      <c r="S82" s="921"/>
      <c r="T82" s="921"/>
      <c r="U82" s="921"/>
      <c r="V82" s="110"/>
      <c r="W82" s="110"/>
      <c r="X82" s="110"/>
      <c r="Y82" s="110"/>
      <c r="Z82" s="110"/>
      <c r="AA82" s="110"/>
      <c r="AB82" s="140"/>
      <c r="AC82" s="3"/>
      <c r="AD82" s="3"/>
    </row>
    <row r="83" spans="1:30" x14ac:dyDescent="0.25">
      <c r="A83" s="1"/>
      <c r="B83" s="143"/>
      <c r="C83" s="162"/>
      <c r="D83" s="162"/>
      <c r="E83" s="16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10"/>
      <c r="W83" s="110"/>
      <c r="X83" s="110"/>
      <c r="Y83" s="110"/>
      <c r="Z83" s="110"/>
      <c r="AA83" s="110"/>
      <c r="AB83" s="140"/>
      <c r="AC83" s="3"/>
      <c r="AD83" s="3"/>
    </row>
    <row r="84" spans="1:30" x14ac:dyDescent="0.25">
      <c r="A84" s="1"/>
      <c r="B84" s="161"/>
      <c r="C84" s="160"/>
      <c r="D84" s="145"/>
      <c r="E84" s="145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10"/>
      <c r="W84" s="110"/>
      <c r="X84" s="110"/>
      <c r="Y84" s="110"/>
      <c r="Z84" s="110"/>
      <c r="AA84" s="110"/>
      <c r="AB84" s="140"/>
      <c r="AC84" s="3"/>
      <c r="AD84" s="3"/>
    </row>
    <row r="85" spans="1:30" x14ac:dyDescent="0.25">
      <c r="A85" s="1"/>
      <c r="B85" s="143"/>
      <c r="C85" s="144"/>
      <c r="D85" s="145"/>
      <c r="E85" s="145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10"/>
      <c r="W85" s="110"/>
      <c r="X85" s="110"/>
      <c r="Y85" s="110"/>
      <c r="Z85" s="110"/>
      <c r="AA85" s="110"/>
      <c r="AB85" s="140"/>
      <c r="AC85" s="3"/>
      <c r="AD85" s="3"/>
    </row>
    <row r="86" spans="1:30" x14ac:dyDescent="0.25">
      <c r="A86" s="1"/>
      <c r="B86" s="143"/>
      <c r="C86" s="144"/>
      <c r="D86" s="145"/>
      <c r="E86" s="145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10"/>
      <c r="W86" s="110"/>
      <c r="X86" s="110"/>
      <c r="Y86" s="110"/>
      <c r="Z86" s="110"/>
      <c r="AA86" s="110"/>
      <c r="AB86" s="140"/>
      <c r="AC86" s="3"/>
      <c r="AD86" s="3"/>
    </row>
    <row r="87" spans="1:30" x14ac:dyDescent="0.25">
      <c r="A87" s="1"/>
      <c r="B87" s="146"/>
      <c r="C87" s="147"/>
      <c r="D87" s="148"/>
      <c r="E87" s="148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50"/>
      <c r="W87" s="150"/>
      <c r="X87" s="150"/>
      <c r="Y87" s="150"/>
      <c r="Z87" s="150"/>
      <c r="AA87" s="150"/>
      <c r="AB87" s="151"/>
      <c r="AC87" s="3"/>
      <c r="AD87" s="3"/>
    </row>
    <row r="88" spans="1:30" x14ac:dyDescent="0.25">
      <c r="A88" s="104"/>
      <c r="B88" s="152"/>
      <c r="C88" s="153"/>
      <c r="D88" s="152"/>
      <c r="E88" s="152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2"/>
      <c r="C89" s="153"/>
      <c r="D89" s="152"/>
      <c r="E89" s="152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5" t="s">
        <v>109</v>
      </c>
      <c r="C91" s="156">
        <v>44811</v>
      </c>
      <c r="D91" s="155" t="s">
        <v>110</v>
      </c>
      <c r="E91" s="921" t="s">
        <v>116</v>
      </c>
      <c r="F91" s="921"/>
      <c r="G91" s="921"/>
      <c r="H91" s="155"/>
      <c r="I91" s="155" t="s">
        <v>112</v>
      </c>
      <c r="J91" s="922" t="s">
        <v>115</v>
      </c>
      <c r="K91" s="922"/>
      <c r="L91" s="922"/>
      <c r="M91" s="922"/>
      <c r="N91" s="155"/>
      <c r="O91" s="155"/>
      <c r="P91" s="155"/>
      <c r="Q91" s="155"/>
      <c r="R91" s="155"/>
      <c r="S91" s="155"/>
      <c r="T91" s="155"/>
      <c r="U91" s="155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5"/>
      <c r="C93" s="155"/>
      <c r="D93" s="155" t="s">
        <v>114</v>
      </c>
      <c r="E93" s="157"/>
      <c r="F93" s="157"/>
      <c r="G93" s="157"/>
      <c r="H93" s="155"/>
      <c r="I93" s="155" t="s">
        <v>114</v>
      </c>
      <c r="J93" s="158"/>
      <c r="K93" s="158"/>
      <c r="L93" s="158"/>
      <c r="M93" s="158"/>
      <c r="N93" s="155"/>
      <c r="O93" s="155"/>
      <c r="P93" s="155"/>
      <c r="Q93" s="155"/>
      <c r="R93" s="155"/>
      <c r="S93" s="155"/>
      <c r="T93" s="155"/>
      <c r="U93" s="155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5"/>
      <c r="C94" s="155"/>
      <c r="D94" s="155"/>
      <c r="E94" s="157"/>
      <c r="F94" s="157"/>
      <c r="G94" s="157"/>
      <c r="H94" s="155"/>
      <c r="I94" s="155"/>
      <c r="J94" s="158"/>
      <c r="K94" s="158"/>
      <c r="L94" s="158"/>
      <c r="M94" s="158"/>
      <c r="N94" s="155"/>
      <c r="O94" s="155"/>
      <c r="P94" s="155"/>
      <c r="Q94" s="155"/>
      <c r="R94" s="155"/>
      <c r="S94" s="155"/>
      <c r="T94" s="155"/>
      <c r="U94" s="155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J10:O10"/>
    <mergeCell ref="J11:M11"/>
    <mergeCell ref="J12:O12"/>
    <mergeCell ref="J13:L13"/>
    <mergeCell ref="M13:M14"/>
    <mergeCell ref="N13:N14"/>
    <mergeCell ref="D4:U4"/>
    <mergeCell ref="D8:U8"/>
    <mergeCell ref="C43:C44"/>
    <mergeCell ref="C46:C47"/>
    <mergeCell ref="C26:C27"/>
    <mergeCell ref="O13:O14"/>
    <mergeCell ref="J25:O25"/>
    <mergeCell ref="J26:L26"/>
    <mergeCell ref="M26:M27"/>
    <mergeCell ref="N26:N27"/>
    <mergeCell ref="O26:O27"/>
    <mergeCell ref="I13:I14"/>
    <mergeCell ref="D25:I25"/>
    <mergeCell ref="D26:F26"/>
    <mergeCell ref="G26:G27"/>
    <mergeCell ref="P10:U10"/>
    <mergeCell ref="H26:H27"/>
    <mergeCell ref="I26:I27"/>
    <mergeCell ref="H13:H14"/>
    <mergeCell ref="E91:G91"/>
    <mergeCell ref="J91:M91"/>
    <mergeCell ref="B63:U63"/>
    <mergeCell ref="B82:U82"/>
    <mergeCell ref="B62:U62"/>
    <mergeCell ref="D59:U59"/>
    <mergeCell ref="B61:U61"/>
    <mergeCell ref="B26:B27"/>
    <mergeCell ref="B10:B13"/>
    <mergeCell ref="P11:S11"/>
    <mergeCell ref="P12:U12"/>
    <mergeCell ref="P13:R13"/>
    <mergeCell ref="G13:G14"/>
    <mergeCell ref="D12:I12"/>
    <mergeCell ref="D10:I10"/>
    <mergeCell ref="D11:G11"/>
    <mergeCell ref="C10:C13"/>
    <mergeCell ref="D13:F13"/>
    <mergeCell ref="S13:S14"/>
    <mergeCell ref="T13:T14"/>
    <mergeCell ref="U13:U14"/>
    <mergeCell ref="P25:U25"/>
    <mergeCell ref="P26:R26"/>
    <mergeCell ref="S26:S27"/>
    <mergeCell ref="T26:T27"/>
    <mergeCell ref="U26:U27"/>
    <mergeCell ref="V10:AA10"/>
    <mergeCell ref="V25:AA25"/>
    <mergeCell ref="Y13:Y14"/>
    <mergeCell ref="Z13:Z14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</mergeCells>
  <conditionalFormatting sqref="AB15:AB25">
    <cfRule type="cellIs" dxfId="63" priority="3" operator="equal">
      <formula>0</formula>
    </cfRule>
    <cfRule type="containsErrors" dxfId="62" priority="4">
      <formula>ISERROR(AB15)</formula>
    </cfRule>
  </conditionalFormatting>
  <conditionalFormatting sqref="AB28:AB41">
    <cfRule type="cellIs" dxfId="61" priority="1" operator="equal">
      <formula>0</formula>
    </cfRule>
    <cfRule type="containsErrors" dxfId="6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128"/>
  <sheetViews>
    <sheetView showGridLines="0" zoomScale="80" zoomScaleNormal="80" zoomScaleSheetLayoutView="80" workbookViewId="0">
      <selection activeCell="C71" sqref="C7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8.28515625" customWidth="1"/>
    <col min="5" max="5" width="17.85546875" customWidth="1"/>
    <col min="6" max="6" width="16.85546875" customWidth="1"/>
    <col min="7" max="7" width="21.28515625" customWidth="1"/>
    <col min="8" max="8" width="15.7109375" customWidth="1"/>
    <col min="9" max="9" width="17.28515625" customWidth="1"/>
    <col min="10" max="10" width="18.28515625" customWidth="1"/>
    <col min="11" max="11" width="17.85546875" customWidth="1"/>
    <col min="12" max="12" width="13.7109375" customWidth="1"/>
    <col min="13" max="13" width="23.42578125" style="159" customWidth="1"/>
    <col min="14" max="14" width="15.28515625" customWidth="1"/>
    <col min="15" max="15" width="14.7109375" customWidth="1"/>
    <col min="16" max="18" width="16.42578125" customWidth="1"/>
    <col min="19" max="19" width="21.140625" customWidth="1"/>
    <col min="20" max="20" width="15.140625" customWidth="1"/>
    <col min="21" max="21" width="16.7109375" customWidth="1"/>
    <col min="22" max="22" width="18.28515625" customWidth="1"/>
    <col min="23" max="23" width="14.140625" bestFit="1" customWidth="1"/>
    <col min="24" max="24" width="13.140625" bestFit="1" customWidth="1"/>
    <col min="25" max="25" width="21.85546875" customWidth="1"/>
    <col min="26" max="26" width="14.85546875" bestFit="1" customWidth="1"/>
    <col min="27" max="27" width="16.28515625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2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79065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27" t="s">
        <v>5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9</v>
      </c>
      <c r="K10" s="883"/>
      <c r="L10" s="883"/>
      <c r="M10" s="883"/>
      <c r="N10" s="883"/>
      <c r="O10" s="884"/>
      <c r="P10" s="882" t="s">
        <v>10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890"/>
      <c r="H14" s="892"/>
      <c r="I14" s="912"/>
      <c r="J14" s="11" t="s">
        <v>20</v>
      </c>
      <c r="K14" s="12" t="s">
        <v>21</v>
      </c>
      <c r="L14" s="12" t="s">
        <v>22</v>
      </c>
      <c r="M14" s="890"/>
      <c r="N14" s="892"/>
      <c r="O14" s="912"/>
      <c r="P14" s="11" t="s">
        <v>20</v>
      </c>
      <c r="Q14" s="12" t="s">
        <v>21</v>
      </c>
      <c r="R14" s="12" t="s">
        <v>22</v>
      </c>
      <c r="S14" s="890"/>
      <c r="T14" s="892"/>
      <c r="U14" s="912"/>
      <c r="V14" s="11" t="s">
        <v>20</v>
      </c>
      <c r="W14" s="12" t="s">
        <v>21</v>
      </c>
      <c r="X14" s="12" t="s">
        <v>22</v>
      </c>
      <c r="Y14" s="890"/>
      <c r="Z14" s="892"/>
      <c r="AA14" s="912"/>
      <c r="AB14" s="902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>
        <f>+'[1]Vyhodnocení hospodaření PO'!P15</f>
        <v>0</v>
      </c>
      <c r="E15" s="16">
        <f>+'[1]Vyhodnocení hospodaření PO'!Q15</f>
        <v>0</v>
      </c>
      <c r="F15" s="17">
        <f>+'[1]Vyhodnocení hospodaření PO'!R15</f>
        <v>19547086.5</v>
      </c>
      <c r="G15" s="18">
        <f>SUM(D15:F15)</f>
        <v>19547086.5</v>
      </c>
      <c r="H15" s="19">
        <f>+'[1]Vyhodnocení hospodaření PO'!T15</f>
        <v>17554316.600000001</v>
      </c>
      <c r="I15" s="20">
        <f>G15+H15</f>
        <v>37101403.100000001</v>
      </c>
      <c r="J15" s="15">
        <f>+'[2]NR 2022'!V15</f>
        <v>0</v>
      </c>
      <c r="K15" s="16">
        <f>+'[2]NR 2022'!W15</f>
        <v>0</v>
      </c>
      <c r="L15" s="17">
        <f>+'[2]NR 2022'!X15</f>
        <v>16690000</v>
      </c>
      <c r="M15" s="18">
        <f t="shared" ref="M15:M23" si="0">SUM(J15:L15)</f>
        <v>16690000</v>
      </c>
      <c r="N15" s="19">
        <f>+'[2]NR 2022'!Z15</f>
        <v>17100000</v>
      </c>
      <c r="O15" s="20">
        <f>M15+N15</f>
        <v>33790000</v>
      </c>
      <c r="P15" s="15">
        <f>+'[3]Vyhodnocení hosp. 1.pol. 2022'!P15</f>
        <v>0</v>
      </c>
      <c r="Q15" s="16">
        <f>+'[3]Vyhodnocení hosp. 1.pol. 2022'!Q15</f>
        <v>0</v>
      </c>
      <c r="R15" s="17">
        <f>+'[3]Vyhodnocení hosp. 1.pol. 2022'!R15</f>
        <v>12154398.51</v>
      </c>
      <c r="S15" s="18">
        <f>SUM(P15:R15)</f>
        <v>12154398.51</v>
      </c>
      <c r="T15" s="19">
        <f>+'[3]Vyhodnocení hosp. 1.pol. 2022'!T15</f>
        <v>8941820.2599999998</v>
      </c>
      <c r="U15" s="20">
        <f>S15+T15</f>
        <v>21096218.77</v>
      </c>
      <c r="V15" s="15">
        <f>+J15</f>
        <v>0</v>
      </c>
      <c r="W15" s="16">
        <f t="shared" ref="W15:X23" si="1">+K15</f>
        <v>0</v>
      </c>
      <c r="X15" s="17">
        <f t="shared" si="1"/>
        <v>16690000</v>
      </c>
      <c r="Y15" s="18">
        <f>SUM(V15:X15)</f>
        <v>16690000</v>
      </c>
      <c r="Z15" s="19">
        <f>+N15</f>
        <v>17100000</v>
      </c>
      <c r="AA15" s="20">
        <f>Y15+Z15</f>
        <v>33790000</v>
      </c>
      <c r="AB15" s="21">
        <f>(AA15/O15)</f>
        <v>1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f>+'[1]Vyhodnocení hospodaření PO'!P16</f>
        <v>130269700.00000001</v>
      </c>
      <c r="E16" s="25">
        <f>+'[1]Vyhodnocení hospodaření PO'!Q16</f>
        <v>0</v>
      </c>
      <c r="F16" s="25">
        <f>+'[1]Vyhodnocení hospodaření PO'!R16</f>
        <v>0</v>
      </c>
      <c r="G16" s="26">
        <f t="shared" ref="G16:G23" si="2">SUM(D16:F16)</f>
        <v>130269700.00000001</v>
      </c>
      <c r="H16" s="27">
        <f>+'[1]Vyhodnocení hospodaření PO'!T16</f>
        <v>0</v>
      </c>
      <c r="I16" s="20">
        <f t="shared" ref="I16:I23" si="3">G16+H16</f>
        <v>130269700.00000001</v>
      </c>
      <c r="J16" s="24">
        <f>+'[2]NR 2022'!V16</f>
        <v>154666600</v>
      </c>
      <c r="K16" s="25">
        <f>+'[2]NR 2022'!W16</f>
        <v>0</v>
      </c>
      <c r="L16" s="25">
        <f>+'[2]NR 2022'!X16</f>
        <v>0</v>
      </c>
      <c r="M16" s="26">
        <f t="shared" si="0"/>
        <v>154666600</v>
      </c>
      <c r="N16" s="27">
        <f>+'[2]NR 2022'!Z16</f>
        <v>0</v>
      </c>
      <c r="O16" s="20">
        <f t="shared" ref="O16:O20" si="4">M16+N16</f>
        <v>154666600</v>
      </c>
      <c r="P16" s="24">
        <f>+'[3]Vyhodnocení hosp. 1.pol. 2022'!P16</f>
        <v>71276300</v>
      </c>
      <c r="Q16" s="25">
        <f>+'[3]Vyhodnocení hosp. 1.pol. 2022'!Q16</f>
        <v>0</v>
      </c>
      <c r="R16" s="25">
        <f>+'[3]Vyhodnocení hosp. 1.pol. 2022'!R16</f>
        <v>0</v>
      </c>
      <c r="S16" s="26">
        <f t="shared" ref="S16:S23" si="5">SUM(P16:R16)</f>
        <v>71276300</v>
      </c>
      <c r="T16" s="27">
        <f>+'[3]Vyhodnocení hosp. 1.pol. 2022'!T16</f>
        <v>0</v>
      </c>
      <c r="U16" s="20">
        <f t="shared" ref="U16:U20" si="6">S16+T16</f>
        <v>71276300</v>
      </c>
      <c r="V16" s="24">
        <f>+J16+2800000+3620000+6200000+1730000</f>
        <v>169016600</v>
      </c>
      <c r="W16" s="25">
        <f t="shared" si="1"/>
        <v>0</v>
      </c>
      <c r="X16" s="25">
        <f t="shared" si="1"/>
        <v>0</v>
      </c>
      <c r="Y16" s="26">
        <f t="shared" ref="Y16:Y23" si="7">SUM(V16:X16)</f>
        <v>169016600</v>
      </c>
      <c r="Z16" s="27">
        <f t="shared" ref="Z16:Z23" si="8">+N16</f>
        <v>0</v>
      </c>
      <c r="AA16" s="20">
        <f t="shared" ref="AA16:AA20" si="9">Y16+Z16</f>
        <v>169016600</v>
      </c>
      <c r="AB16" s="21">
        <f t="shared" ref="AB16:AB24" si="10">(AA16/O16)</f>
        <v>1.0927802124052639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f>+'[1]Vyhodnocení hospodaření PO'!P17</f>
        <v>0</v>
      </c>
      <c r="E17" s="30">
        <f>+'[1]Vyhodnocení hospodaření PO'!Q17</f>
        <v>0</v>
      </c>
      <c r="F17" s="30">
        <f>+'[1]Vyhodnocení hospodaření PO'!R17</f>
        <v>0</v>
      </c>
      <c r="G17" s="26">
        <f t="shared" si="2"/>
        <v>0</v>
      </c>
      <c r="H17" s="31">
        <f>+'[1]Vyhodnocení hospodaření PO'!T17</f>
        <v>0</v>
      </c>
      <c r="I17" s="20">
        <f t="shared" si="3"/>
        <v>0</v>
      </c>
      <c r="J17" s="29">
        <f>+'[2]NR 2022'!V17</f>
        <v>0</v>
      </c>
      <c r="K17" s="30">
        <f>+'[2]NR 2022'!W17</f>
        <v>0</v>
      </c>
      <c r="L17" s="30">
        <f>+'[2]NR 2022'!X17</f>
        <v>0</v>
      </c>
      <c r="M17" s="26">
        <f t="shared" si="0"/>
        <v>0</v>
      </c>
      <c r="N17" s="31">
        <f>+'[2]NR 2022'!Z17</f>
        <v>0</v>
      </c>
      <c r="O17" s="20">
        <f t="shared" si="4"/>
        <v>0</v>
      </c>
      <c r="P17" s="29">
        <f>+'[3]Vyhodnocení hosp. 1.pol. 2022'!P17</f>
        <v>0</v>
      </c>
      <c r="Q17" s="30">
        <f>+'[3]Vyhodnocení hosp. 1.pol. 2022'!Q17</f>
        <v>0</v>
      </c>
      <c r="R17" s="30">
        <f>+'[3]Vyhodnocení hosp. 1.pol. 2022'!R17</f>
        <v>0</v>
      </c>
      <c r="S17" s="26">
        <f t="shared" si="5"/>
        <v>0</v>
      </c>
      <c r="T17" s="31">
        <f>+'[3]Vyhodnocení hosp. 1.pol. 2022'!T17</f>
        <v>0</v>
      </c>
      <c r="U17" s="20">
        <f t="shared" si="6"/>
        <v>0</v>
      </c>
      <c r="V17" s="29">
        <f t="shared" ref="V17:V23" si="11">+J17</f>
        <v>0</v>
      </c>
      <c r="W17" s="30">
        <f t="shared" si="1"/>
        <v>0</v>
      </c>
      <c r="X17" s="30">
        <f t="shared" si="1"/>
        <v>0</v>
      </c>
      <c r="Y17" s="26">
        <f t="shared" si="7"/>
        <v>0</v>
      </c>
      <c r="Z17" s="31">
        <f t="shared" si="8"/>
        <v>0</v>
      </c>
      <c r="AA17" s="20">
        <f t="shared" si="9"/>
        <v>0</v>
      </c>
      <c r="AB17" s="21" t="e">
        <f t="shared" si="10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>
        <f>+'[1]Vyhodnocení hospodaření PO'!P18</f>
        <v>0</v>
      </c>
      <c r="E18" s="34">
        <f>+'[1]Vyhodnocení hospodaření PO'!Q18</f>
        <v>0</v>
      </c>
      <c r="F18" s="30">
        <f>+'[1]Vyhodnocení hospodaření PO'!R18</f>
        <v>0</v>
      </c>
      <c r="G18" s="26">
        <f t="shared" si="2"/>
        <v>0</v>
      </c>
      <c r="H18" s="19">
        <f>+'[1]Vyhodnocení hospodaření PO'!T18</f>
        <v>0</v>
      </c>
      <c r="I18" s="20">
        <f t="shared" si="3"/>
        <v>0</v>
      </c>
      <c r="J18" s="33">
        <f>+'[2]NR 2022'!V18</f>
        <v>0</v>
      </c>
      <c r="K18" s="34">
        <f>+'[2]NR 2022'!W18</f>
        <v>0</v>
      </c>
      <c r="L18" s="30">
        <f>+'[2]NR 2022'!X18</f>
        <v>0</v>
      </c>
      <c r="M18" s="26">
        <f t="shared" si="0"/>
        <v>0</v>
      </c>
      <c r="N18" s="19">
        <f>+'[2]NR 2022'!Z18</f>
        <v>0</v>
      </c>
      <c r="O18" s="20">
        <f t="shared" si="4"/>
        <v>0</v>
      </c>
      <c r="P18" s="33">
        <f>+'[3]Vyhodnocení hosp. 1.pol. 2022'!P18</f>
        <v>0</v>
      </c>
      <c r="Q18" s="34">
        <f>+'[3]Vyhodnocení hosp. 1.pol. 2022'!Q18</f>
        <v>0</v>
      </c>
      <c r="R18" s="30">
        <f>+'[3]Vyhodnocení hosp. 1.pol. 2022'!R18</f>
        <v>0</v>
      </c>
      <c r="S18" s="26">
        <f t="shared" si="5"/>
        <v>0</v>
      </c>
      <c r="T18" s="19">
        <f>+'[3]Vyhodnocení hosp. 1.pol. 2022'!T18</f>
        <v>0</v>
      </c>
      <c r="U18" s="20">
        <f t="shared" si="6"/>
        <v>0</v>
      </c>
      <c r="V18" s="33">
        <f t="shared" si="11"/>
        <v>0</v>
      </c>
      <c r="W18" s="34">
        <f t="shared" si="1"/>
        <v>0</v>
      </c>
      <c r="X18" s="30">
        <f t="shared" si="1"/>
        <v>0</v>
      </c>
      <c r="Y18" s="26">
        <f t="shared" si="7"/>
        <v>0</v>
      </c>
      <c r="Z18" s="19">
        <f t="shared" si="8"/>
        <v>0</v>
      </c>
      <c r="AA18" s="20">
        <f t="shared" si="9"/>
        <v>0</v>
      </c>
      <c r="AB18" s="21" t="e">
        <f t="shared" si="10"/>
        <v>#DIV/0!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>
        <f>+'[1]Vyhodnocení hospodaření PO'!P19</f>
        <v>0</v>
      </c>
      <c r="E19" s="30">
        <f>+'[1]Vyhodnocení hospodaření PO'!Q19</f>
        <v>0</v>
      </c>
      <c r="F19" s="37">
        <f>+'[1]Vyhodnocení hospodaření PO'!R19</f>
        <v>0</v>
      </c>
      <c r="G19" s="26">
        <f t="shared" si="2"/>
        <v>0</v>
      </c>
      <c r="H19" s="38">
        <f>+'[1]Vyhodnocení hospodaření PO'!T19</f>
        <v>0</v>
      </c>
      <c r="I19" s="20">
        <f t="shared" si="3"/>
        <v>0</v>
      </c>
      <c r="J19" s="36">
        <f>+'[2]NR 2022'!V19</f>
        <v>0</v>
      </c>
      <c r="K19" s="30">
        <f>+'[2]NR 2022'!W19</f>
        <v>0</v>
      </c>
      <c r="L19" s="37">
        <f>+'[2]NR 2022'!X19</f>
        <v>0</v>
      </c>
      <c r="M19" s="26">
        <f t="shared" si="0"/>
        <v>0</v>
      </c>
      <c r="N19" s="38">
        <f>+'[2]NR 2022'!Z19</f>
        <v>0</v>
      </c>
      <c r="O19" s="20">
        <f t="shared" si="4"/>
        <v>0</v>
      </c>
      <c r="P19" s="36">
        <f>+'[3]Vyhodnocení hosp. 1.pol. 2022'!P19</f>
        <v>0</v>
      </c>
      <c r="Q19" s="30">
        <f>+'[3]Vyhodnocení hosp. 1.pol. 2022'!Q19</f>
        <v>0</v>
      </c>
      <c r="R19" s="37">
        <f>+'[3]Vyhodnocení hosp. 1.pol. 2022'!R19</f>
        <v>0</v>
      </c>
      <c r="S19" s="26">
        <f t="shared" si="5"/>
        <v>0</v>
      </c>
      <c r="T19" s="38">
        <f>+'[3]Vyhodnocení hosp. 1.pol. 2022'!T19</f>
        <v>0</v>
      </c>
      <c r="U19" s="20">
        <f t="shared" si="6"/>
        <v>0</v>
      </c>
      <c r="V19" s="36">
        <f t="shared" si="11"/>
        <v>0</v>
      </c>
      <c r="W19" s="30">
        <f t="shared" si="1"/>
        <v>0</v>
      </c>
      <c r="X19" s="37">
        <f t="shared" si="1"/>
        <v>0</v>
      </c>
      <c r="Y19" s="26">
        <f t="shared" si="7"/>
        <v>0</v>
      </c>
      <c r="Z19" s="38">
        <f t="shared" si="8"/>
        <v>0</v>
      </c>
      <c r="AA19" s="20">
        <f t="shared" si="9"/>
        <v>0</v>
      </c>
      <c r="AB19" s="21" t="e">
        <f t="shared" si="10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>
        <f>+'[1]Vyhodnocení hospodaření PO'!P20</f>
        <v>0</v>
      </c>
      <c r="E20" s="25">
        <f>+'[1]Vyhodnocení hospodaření PO'!Q20</f>
        <v>0</v>
      </c>
      <c r="F20" s="40">
        <f>+'[1]Vyhodnocení hospodaření PO'!R20</f>
        <v>5977882.0199999996</v>
      </c>
      <c r="G20" s="26">
        <f t="shared" si="2"/>
        <v>5977882.0199999996</v>
      </c>
      <c r="H20" s="38">
        <f>+'[1]Vyhodnocení hospodaření PO'!T20</f>
        <v>0</v>
      </c>
      <c r="I20" s="20">
        <f t="shared" si="3"/>
        <v>5977882.0199999996</v>
      </c>
      <c r="J20" s="33">
        <f>+'[2]NR 2022'!V20</f>
        <v>0</v>
      </c>
      <c r="K20" s="25">
        <f>+'[2]NR 2022'!W20</f>
        <v>0</v>
      </c>
      <c r="L20" s="40">
        <f>+'[2]NR 2022'!X20</f>
        <v>3770000</v>
      </c>
      <c r="M20" s="26">
        <f t="shared" si="0"/>
        <v>3770000</v>
      </c>
      <c r="N20" s="38">
        <f>+'[2]NR 2022'!Z20</f>
        <v>0</v>
      </c>
      <c r="O20" s="20">
        <f t="shared" si="4"/>
        <v>3770000</v>
      </c>
      <c r="P20" s="33">
        <f>+'[3]Vyhodnocení hosp. 1.pol. 2022'!P20</f>
        <v>0</v>
      </c>
      <c r="Q20" s="25">
        <f>+'[3]Vyhodnocení hosp. 1.pol. 2022'!Q20</f>
        <v>0</v>
      </c>
      <c r="R20" s="40">
        <f>+'[3]Vyhodnocení hosp. 1.pol. 2022'!R20</f>
        <v>1868833.2100000002</v>
      </c>
      <c r="S20" s="26">
        <f t="shared" si="5"/>
        <v>1868833.2100000002</v>
      </c>
      <c r="T20" s="38">
        <f>+'[3]Vyhodnocení hosp. 1.pol. 2022'!T20</f>
        <v>0</v>
      </c>
      <c r="U20" s="20">
        <f t="shared" si="6"/>
        <v>1868833.2100000002</v>
      </c>
      <c r="V20" s="33">
        <f t="shared" si="11"/>
        <v>0</v>
      </c>
      <c r="W20" s="25">
        <f t="shared" si="1"/>
        <v>0</v>
      </c>
      <c r="X20" s="40">
        <f t="shared" si="1"/>
        <v>3770000</v>
      </c>
      <c r="Y20" s="26">
        <f t="shared" si="7"/>
        <v>3770000</v>
      </c>
      <c r="Z20" s="38">
        <f t="shared" si="8"/>
        <v>0</v>
      </c>
      <c r="AA20" s="20">
        <f t="shared" si="9"/>
        <v>3770000</v>
      </c>
      <c r="AB20" s="21">
        <f t="shared" si="10"/>
        <v>1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>
        <f>+'[1]Vyhodnocení hospodaření PO'!P21</f>
        <v>0</v>
      </c>
      <c r="E21" s="25">
        <f>+'[1]Vyhodnocení hospodaření PO'!Q21</f>
        <v>0</v>
      </c>
      <c r="F21" s="40">
        <f>+'[1]Vyhodnocení hospodaření PO'!R21</f>
        <v>3927798.8099999987</v>
      </c>
      <c r="G21" s="26">
        <f t="shared" si="2"/>
        <v>3927798.8099999987</v>
      </c>
      <c r="H21" s="42">
        <f>+'[1]Vyhodnocení hospodaření PO'!T21</f>
        <v>8545.0300000000007</v>
      </c>
      <c r="I21" s="20">
        <f>G21+H21</f>
        <v>3936343.8399999985</v>
      </c>
      <c r="J21" s="33">
        <f>+'[2]NR 2022'!V21</f>
        <v>0</v>
      </c>
      <c r="K21" s="25">
        <f>+'[2]NR 2022'!W21</f>
        <v>0</v>
      </c>
      <c r="L21" s="40">
        <f>+'[2]NR 2022'!X21</f>
        <v>3200000</v>
      </c>
      <c r="M21" s="26">
        <f t="shared" si="0"/>
        <v>3200000</v>
      </c>
      <c r="N21" s="42">
        <f>+'[2]NR 2022'!Z21</f>
        <v>0</v>
      </c>
      <c r="O21" s="20">
        <f>M21+N21</f>
        <v>3200000</v>
      </c>
      <c r="P21" s="33">
        <f>+'[3]Vyhodnocení hosp. 1.pol. 2022'!P21</f>
        <v>0</v>
      </c>
      <c r="Q21" s="25">
        <f>+'[3]Vyhodnocení hosp. 1.pol. 2022'!Q21</f>
        <v>0</v>
      </c>
      <c r="R21" s="40">
        <f>+'[3]Vyhodnocení hosp. 1.pol. 2022'!R21</f>
        <v>1528782.81</v>
      </c>
      <c r="S21" s="26">
        <f t="shared" si="5"/>
        <v>1528782.81</v>
      </c>
      <c r="T21" s="42">
        <f>+'[3]Vyhodnocení hosp. 1.pol. 2022'!T21</f>
        <v>5356.06</v>
      </c>
      <c r="U21" s="20">
        <f>S21+T21</f>
        <v>1534138.87</v>
      </c>
      <c r="V21" s="33">
        <f t="shared" si="11"/>
        <v>0</v>
      </c>
      <c r="W21" s="25">
        <f t="shared" si="1"/>
        <v>0</v>
      </c>
      <c r="X21" s="40">
        <f t="shared" si="1"/>
        <v>3200000</v>
      </c>
      <c r="Y21" s="26">
        <f t="shared" si="7"/>
        <v>3200000</v>
      </c>
      <c r="Z21" s="42">
        <f t="shared" si="8"/>
        <v>0</v>
      </c>
      <c r="AA21" s="20">
        <f>Y21+Z21</f>
        <v>3200000</v>
      </c>
      <c r="AB21" s="21">
        <f t="shared" si="10"/>
        <v>1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>
        <f>+'[1]Vyhodnocení hospodaření PO'!P22</f>
        <v>0</v>
      </c>
      <c r="E22" s="25">
        <f>+'[1]Vyhodnocení hospodaření PO'!Q22</f>
        <v>0</v>
      </c>
      <c r="F22" s="40">
        <f>+'[1]Vyhodnocení hospodaření PO'!R22</f>
        <v>273186.03000000009</v>
      </c>
      <c r="G22" s="26">
        <f t="shared" si="2"/>
        <v>273186.03000000009</v>
      </c>
      <c r="H22" s="42">
        <f>+'[1]Vyhodnocení hospodaření PO'!T22</f>
        <v>0</v>
      </c>
      <c r="I22" s="20">
        <f t="shared" si="3"/>
        <v>273186.03000000009</v>
      </c>
      <c r="J22" s="33">
        <f>+'[2]NR 2022'!V22</f>
        <v>0</v>
      </c>
      <c r="K22" s="25">
        <f>+'[2]NR 2022'!W22</f>
        <v>0</v>
      </c>
      <c r="L22" s="40">
        <f>+'[2]NR 2022'!X22</f>
        <v>200000</v>
      </c>
      <c r="M22" s="26">
        <f t="shared" si="0"/>
        <v>200000</v>
      </c>
      <c r="N22" s="42">
        <f>+'[2]NR 2022'!Z22</f>
        <v>0</v>
      </c>
      <c r="O22" s="20">
        <f t="shared" ref="O22:O23" si="12">M22+N22</f>
        <v>200000</v>
      </c>
      <c r="P22" s="33">
        <f>+'[3]Vyhodnocení hosp. 1.pol. 2022'!P22</f>
        <v>0</v>
      </c>
      <c r="Q22" s="25">
        <f>+'[3]Vyhodnocení hosp. 1.pol. 2022'!Q22</f>
        <v>0</v>
      </c>
      <c r="R22" s="40">
        <f>+'[3]Vyhodnocení hosp. 1.pol. 2022'!R22</f>
        <v>0</v>
      </c>
      <c r="S22" s="26">
        <f t="shared" si="5"/>
        <v>0</v>
      </c>
      <c r="T22" s="42">
        <f>+'[3]Vyhodnocení hosp. 1.pol. 2022'!T22</f>
        <v>0</v>
      </c>
      <c r="U22" s="20">
        <f t="shared" ref="U22:U23" si="13">S22+T22</f>
        <v>0</v>
      </c>
      <c r="V22" s="33">
        <f t="shared" si="11"/>
        <v>0</v>
      </c>
      <c r="W22" s="25">
        <f t="shared" si="1"/>
        <v>0</v>
      </c>
      <c r="X22" s="40">
        <f t="shared" si="1"/>
        <v>200000</v>
      </c>
      <c r="Y22" s="26">
        <f t="shared" si="7"/>
        <v>200000</v>
      </c>
      <c r="Z22" s="42">
        <f t="shared" si="8"/>
        <v>0</v>
      </c>
      <c r="AA22" s="20">
        <f t="shared" ref="AA22:AA23" si="14">Y22+Z22</f>
        <v>200000</v>
      </c>
      <c r="AB22" s="21">
        <f t="shared" si="10"/>
        <v>1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>
        <f>+'[1]Vyhodnocení hospodaření PO'!P23</f>
        <v>0</v>
      </c>
      <c r="E23" s="46">
        <f>+'[1]Vyhodnocení hospodaření PO'!Q23</f>
        <v>0</v>
      </c>
      <c r="F23" s="47">
        <f>+'[1]Vyhodnocení hospodaření PO'!R23</f>
        <v>1303199.1600000001</v>
      </c>
      <c r="G23" s="48">
        <f t="shared" si="2"/>
        <v>1303199.1600000001</v>
      </c>
      <c r="H23" s="49">
        <f>+'[1]Vyhodnocení hospodaření PO'!T23</f>
        <v>0</v>
      </c>
      <c r="I23" s="50">
        <f t="shared" si="3"/>
        <v>1303199.1600000001</v>
      </c>
      <c r="J23" s="45">
        <f>+'[2]NR 2022'!V23</f>
        <v>0</v>
      </c>
      <c r="K23" s="46">
        <f>+'[2]NR 2022'!W23</f>
        <v>0</v>
      </c>
      <c r="L23" s="47">
        <f>+'[2]NR 2022'!X23</f>
        <v>250000</v>
      </c>
      <c r="M23" s="48">
        <f t="shared" si="0"/>
        <v>250000</v>
      </c>
      <c r="N23" s="49">
        <f>+'[2]NR 2022'!Z23</f>
        <v>0</v>
      </c>
      <c r="O23" s="50">
        <f t="shared" si="12"/>
        <v>250000</v>
      </c>
      <c r="P23" s="45">
        <f>+'[3]Vyhodnocení hosp. 1.pol. 2022'!P23</f>
        <v>0</v>
      </c>
      <c r="Q23" s="46">
        <f>+'[3]Vyhodnocení hosp. 1.pol. 2022'!Q23</f>
        <v>0</v>
      </c>
      <c r="R23" s="47">
        <f>+'[3]Vyhodnocení hosp. 1.pol. 2022'!R23</f>
        <v>0</v>
      </c>
      <c r="S23" s="26">
        <f t="shared" si="5"/>
        <v>0</v>
      </c>
      <c r="T23" s="49">
        <f>+'[3]Vyhodnocení hosp. 1.pol. 2022'!T23</f>
        <v>0</v>
      </c>
      <c r="U23" s="50">
        <f t="shared" si="13"/>
        <v>0</v>
      </c>
      <c r="V23" s="45">
        <f t="shared" si="11"/>
        <v>0</v>
      </c>
      <c r="W23" s="46">
        <f t="shared" si="1"/>
        <v>0</v>
      </c>
      <c r="X23" s="47">
        <f t="shared" si="1"/>
        <v>250000</v>
      </c>
      <c r="Y23" s="48">
        <f t="shared" si="7"/>
        <v>250000</v>
      </c>
      <c r="Z23" s="49">
        <f t="shared" si="8"/>
        <v>0</v>
      </c>
      <c r="AA23" s="50">
        <f t="shared" si="14"/>
        <v>250000</v>
      </c>
      <c r="AB23" s="51">
        <f t="shared" si="10"/>
        <v>1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130269700.00000001</v>
      </c>
      <c r="E24" s="55">
        <f>SUM(E15:E21)</f>
        <v>0</v>
      </c>
      <c r="F24" s="55">
        <f>SUM(F15:F21)</f>
        <v>29452767.329999998</v>
      </c>
      <c r="G24" s="56">
        <f>SUM(D24:F24)</f>
        <v>159722467.33000001</v>
      </c>
      <c r="H24" s="57">
        <f>SUM(H15:H21)</f>
        <v>17562861.630000003</v>
      </c>
      <c r="I24" s="57">
        <f>SUM(I15:I21)</f>
        <v>177285328.96000004</v>
      </c>
      <c r="J24" s="54">
        <f>SUM(J15:J21)</f>
        <v>154666600</v>
      </c>
      <c r="K24" s="55">
        <f>SUM(K15:K21)</f>
        <v>0</v>
      </c>
      <c r="L24" s="55">
        <f>SUM(L15:L21)</f>
        <v>23660000</v>
      </c>
      <c r="M24" s="56">
        <f>SUM(J24:L24)</f>
        <v>178326600</v>
      </c>
      <c r="N24" s="57">
        <f>SUM(N15:N21)</f>
        <v>17100000</v>
      </c>
      <c r="O24" s="57">
        <f>SUM(O15:O21)</f>
        <v>195426600</v>
      </c>
      <c r="P24" s="54">
        <f>SUM(P15:P21)</f>
        <v>71276300</v>
      </c>
      <c r="Q24" s="55">
        <f>SUM(Q15:Q21)</f>
        <v>0</v>
      </c>
      <c r="R24" s="55">
        <f>SUM(R15:R21)</f>
        <v>15552014.530000001</v>
      </c>
      <c r="S24" s="56">
        <f>SUM(P24:R24)</f>
        <v>86828314.530000001</v>
      </c>
      <c r="T24" s="57">
        <f>SUM(T15:T21)</f>
        <v>8947176.3200000003</v>
      </c>
      <c r="U24" s="57">
        <f>SUM(U15:U21)</f>
        <v>95775490.849999994</v>
      </c>
      <c r="V24" s="54">
        <f>SUM(V15:V21)</f>
        <v>169016600</v>
      </c>
      <c r="W24" s="55">
        <f>SUM(W15:W21)</f>
        <v>0</v>
      </c>
      <c r="X24" s="55">
        <f>SUM(X15:X21)</f>
        <v>23660000</v>
      </c>
      <c r="Y24" s="56">
        <f>SUM(V24:X24)</f>
        <v>192676600</v>
      </c>
      <c r="Z24" s="57">
        <f>SUM(Z15:Z21)</f>
        <v>17100000</v>
      </c>
      <c r="AA24" s="57">
        <f>SUM(AA15:AA21)</f>
        <v>209776600</v>
      </c>
      <c r="AB24" s="58">
        <f t="shared" si="10"/>
        <v>1.0734291033052819</v>
      </c>
      <c r="AC24" s="3"/>
      <c r="AD24" s="3"/>
    </row>
    <row r="25" spans="1:30" ht="15.75" customHeight="1" thickBot="1" x14ac:dyDescent="0.3">
      <c r="A25" s="1"/>
      <c r="B25" s="59"/>
      <c r="C25" s="60"/>
      <c r="D25" s="885" t="s">
        <v>43</v>
      </c>
      <c r="E25" s="886"/>
      <c r="F25" s="886"/>
      <c r="G25" s="887"/>
      <c r="H25" s="887"/>
      <c r="I25" s="888"/>
      <c r="J25" s="885" t="s">
        <v>43</v>
      </c>
      <c r="K25" s="886"/>
      <c r="L25" s="886"/>
      <c r="M25" s="887"/>
      <c r="N25" s="887"/>
      <c r="O25" s="888"/>
      <c r="P25" s="885" t="s">
        <v>43</v>
      </c>
      <c r="Q25" s="886"/>
      <c r="R25" s="886"/>
      <c r="S25" s="887"/>
      <c r="T25" s="887"/>
      <c r="U25" s="888"/>
      <c r="V25" s="885" t="s">
        <v>43</v>
      </c>
      <c r="W25" s="886"/>
      <c r="X25" s="886"/>
      <c r="Y25" s="887"/>
      <c r="Z25" s="887"/>
      <c r="AA25" s="888"/>
      <c r="AB25" s="893" t="s">
        <v>12</v>
      </c>
      <c r="AC25" s="3"/>
      <c r="AD25" s="3"/>
    </row>
    <row r="26" spans="1:30" ht="15.75" thickBot="1" x14ac:dyDescent="0.3">
      <c r="A26" s="1"/>
      <c r="B26" s="932" t="s">
        <v>6</v>
      </c>
      <c r="C26" s="917" t="s">
        <v>7</v>
      </c>
      <c r="D26" s="896" t="s">
        <v>44</v>
      </c>
      <c r="E26" s="897"/>
      <c r="F26" s="897"/>
      <c r="G26" s="913" t="s">
        <v>45</v>
      </c>
      <c r="H26" s="915" t="s">
        <v>46</v>
      </c>
      <c r="I26" s="898" t="s">
        <v>43</v>
      </c>
      <c r="J26" s="896" t="s">
        <v>44</v>
      </c>
      <c r="K26" s="897"/>
      <c r="L26" s="897"/>
      <c r="M26" s="913" t="s">
        <v>45</v>
      </c>
      <c r="N26" s="915" t="s">
        <v>46</v>
      </c>
      <c r="O26" s="898" t="s">
        <v>43</v>
      </c>
      <c r="P26" s="896" t="s">
        <v>44</v>
      </c>
      <c r="Q26" s="897"/>
      <c r="R26" s="897"/>
      <c r="S26" s="913" t="s">
        <v>45</v>
      </c>
      <c r="T26" s="915" t="s">
        <v>46</v>
      </c>
      <c r="U26" s="898" t="s">
        <v>43</v>
      </c>
      <c r="V26" s="896" t="s">
        <v>44</v>
      </c>
      <c r="W26" s="897"/>
      <c r="X26" s="897"/>
      <c r="Y26" s="913" t="s">
        <v>45</v>
      </c>
      <c r="Z26" s="915" t="s">
        <v>46</v>
      </c>
      <c r="AA26" s="898" t="s">
        <v>43</v>
      </c>
      <c r="AB26" s="894"/>
      <c r="AC26" s="3"/>
      <c r="AD26" s="3"/>
    </row>
    <row r="27" spans="1:30" ht="15.75" thickBot="1" x14ac:dyDescent="0.3">
      <c r="A27" s="1"/>
      <c r="B27" s="933"/>
      <c r="C27" s="918"/>
      <c r="D27" s="61" t="s">
        <v>47</v>
      </c>
      <c r="E27" s="62" t="s">
        <v>48</v>
      </c>
      <c r="F27" s="63" t="s">
        <v>49</v>
      </c>
      <c r="G27" s="914"/>
      <c r="H27" s="916"/>
      <c r="I27" s="899"/>
      <c r="J27" s="61" t="s">
        <v>47</v>
      </c>
      <c r="K27" s="62" t="s">
        <v>48</v>
      </c>
      <c r="L27" s="63" t="s">
        <v>49</v>
      </c>
      <c r="M27" s="914"/>
      <c r="N27" s="916"/>
      <c r="O27" s="899"/>
      <c r="P27" s="61" t="s">
        <v>47</v>
      </c>
      <c r="Q27" s="62" t="s">
        <v>48</v>
      </c>
      <c r="R27" s="63" t="s">
        <v>49</v>
      </c>
      <c r="S27" s="914"/>
      <c r="T27" s="916"/>
      <c r="U27" s="899"/>
      <c r="V27" s="61" t="s">
        <v>47</v>
      </c>
      <c r="W27" s="62" t="s">
        <v>48</v>
      </c>
      <c r="X27" s="63" t="s">
        <v>49</v>
      </c>
      <c r="Y27" s="914"/>
      <c r="Z27" s="916"/>
      <c r="AA27" s="899"/>
      <c r="AB27" s="895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f>+'[1]Vyhodnocení hospodaření PO'!P28</f>
        <v>4640945.5674211979</v>
      </c>
      <c r="E28" s="65">
        <f>+'[1]Vyhodnocení hospodaření PO'!Q28</f>
        <v>0</v>
      </c>
      <c r="F28" s="65">
        <f>+'[1]Vyhodnocení hospodaření PO'!R28</f>
        <v>706110.52257880091</v>
      </c>
      <c r="G28" s="66">
        <f>SUM(D28:F28)</f>
        <v>5347056.0899999989</v>
      </c>
      <c r="H28" s="66">
        <f>+'[1]Vyhodnocení hospodaření PO'!T28</f>
        <v>52386.33</v>
      </c>
      <c r="I28" s="67">
        <f>G28+H28</f>
        <v>5399442.419999999</v>
      </c>
      <c r="J28" s="68">
        <f>+'[2]NR 2022'!V28</f>
        <v>5800000</v>
      </c>
      <c r="K28" s="65">
        <f>+'[2]NR 2022'!W28</f>
        <v>0</v>
      </c>
      <c r="L28" s="65">
        <f>+'[2]NR 2022'!X28</f>
        <v>1020000</v>
      </c>
      <c r="M28" s="66">
        <f>SUM(J28:L28)</f>
        <v>6820000</v>
      </c>
      <c r="N28" s="66">
        <f>+'[4]NR 2022'!Z28</f>
        <v>30000</v>
      </c>
      <c r="O28" s="67">
        <f>M28+N28</f>
        <v>6850000</v>
      </c>
      <c r="P28" s="68">
        <f>+'[3]Vyhodnocení hosp. 1.pol. 2022'!P28</f>
        <v>4654797.1664887117</v>
      </c>
      <c r="Q28" s="65">
        <f>+'[3]Vyhodnocení hosp. 1.pol. 2022'!Q28</f>
        <v>0</v>
      </c>
      <c r="R28" s="65">
        <f>+'[3]Vyhodnocení hosp. 1.pol. 2022'!R28</f>
        <v>793759.77351128811</v>
      </c>
      <c r="S28" s="66">
        <f>SUM(P28:R28)</f>
        <v>5448556.9399999995</v>
      </c>
      <c r="T28" s="66">
        <f>+'[3]Vyhodnocení hosp. 1.pol. 2022'!T28</f>
        <v>32520.46</v>
      </c>
      <c r="U28" s="67">
        <f>S28+T28</f>
        <v>5481077.3999999994</v>
      </c>
      <c r="V28" s="68">
        <f>+J28+80000</f>
        <v>5880000</v>
      </c>
      <c r="W28" s="65">
        <f t="shared" ref="W28:X38" si="15">+K28</f>
        <v>0</v>
      </c>
      <c r="X28" s="65">
        <f t="shared" si="15"/>
        <v>1020000</v>
      </c>
      <c r="Y28" s="66">
        <f>SUM(V28:X28)</f>
        <v>6900000</v>
      </c>
      <c r="Z28" s="66">
        <f t="shared" ref="Z28:Z38" si="16">+N28</f>
        <v>30000</v>
      </c>
      <c r="AA28" s="67">
        <f>Y28+Z28</f>
        <v>6930000</v>
      </c>
      <c r="AB28" s="21">
        <f t="shared" ref="AB28:AB41" si="17">(AA28/O28)</f>
        <v>1.0116788321167882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f>+'[1]Vyhodnocení hospodaření PO'!P29</f>
        <v>11125787.557241421</v>
      </c>
      <c r="E29" s="70">
        <f>+'[1]Vyhodnocení hospodaření PO'!Q29</f>
        <v>0</v>
      </c>
      <c r="F29" s="70">
        <f>+'[1]Vyhodnocení hospodaření PO'!R29</f>
        <v>1692766.1727585762</v>
      </c>
      <c r="G29" s="71">
        <f t="shared" ref="G29:G38" si="18">SUM(D29:F29)</f>
        <v>12818553.729999997</v>
      </c>
      <c r="H29" s="72">
        <f>+'[1]Vyhodnocení hospodaření PO'!T29</f>
        <v>2539735.5</v>
      </c>
      <c r="I29" s="20">
        <f t="shared" ref="I29:I38" si="19">G29+H29</f>
        <v>15358289.229999997</v>
      </c>
      <c r="J29" s="73">
        <f>+'[2]NR 2022'!V29</f>
        <v>9712966</v>
      </c>
      <c r="K29" s="70">
        <f>+'[2]NR 2022'!W29</f>
        <v>0</v>
      </c>
      <c r="L29" s="70">
        <f>+'[2]NR 2022'!X29</f>
        <v>1430000</v>
      </c>
      <c r="M29" s="71">
        <f t="shared" ref="M29:M38" si="20">SUM(J29:L29)</f>
        <v>11142966</v>
      </c>
      <c r="N29" s="72">
        <f>+'[4]NR 2022'!Z29</f>
        <v>2300000</v>
      </c>
      <c r="O29" s="20">
        <f t="shared" ref="O29:O38" si="21">M29+N29</f>
        <v>13442966</v>
      </c>
      <c r="P29" s="73">
        <f>+'[3]Vyhodnocení hosp. 1.pol. 2022'!P29</f>
        <v>5816182.7230278449</v>
      </c>
      <c r="Q29" s="70">
        <f>+'[3]Vyhodnocení hosp. 1.pol. 2022'!Q29</f>
        <v>0</v>
      </c>
      <c r="R29" s="70">
        <f>+'[3]Vyhodnocení hosp. 1.pol. 2022'!R29</f>
        <v>991805.16697215475</v>
      </c>
      <c r="S29" s="71">
        <f t="shared" ref="S29:S38" si="22">SUM(P29:R29)</f>
        <v>6807987.8899999997</v>
      </c>
      <c r="T29" s="72">
        <f>+'[3]Vyhodnocení hosp. 1.pol. 2022'!T29</f>
        <v>1344653.21</v>
      </c>
      <c r="U29" s="20">
        <f t="shared" ref="U29:U38" si="23">S29+T29</f>
        <v>8152641.0999999996</v>
      </c>
      <c r="V29" s="73">
        <f>+J29+450000+50000</f>
        <v>10212966</v>
      </c>
      <c r="W29" s="70">
        <f t="shared" si="15"/>
        <v>0</v>
      </c>
      <c r="X29" s="70">
        <f t="shared" si="15"/>
        <v>1430000</v>
      </c>
      <c r="Y29" s="71">
        <f t="shared" ref="Y29:Y38" si="24">SUM(V29:X29)</f>
        <v>11642966</v>
      </c>
      <c r="Z29" s="72">
        <f t="shared" si="16"/>
        <v>2300000</v>
      </c>
      <c r="AA29" s="20">
        <f t="shared" ref="AA29:AA38" si="25">Y29+Z29</f>
        <v>13942966</v>
      </c>
      <c r="AB29" s="21">
        <f t="shared" si="17"/>
        <v>1.0371941727740739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f>+'[1]Vyhodnocení hospodaření PO'!P30</f>
        <v>8717637.8898303099</v>
      </c>
      <c r="E30" s="74">
        <f>+'[1]Vyhodnocení hospodaření PO'!Q30</f>
        <v>0</v>
      </c>
      <c r="F30" s="74">
        <f>+'[1]Vyhodnocení hospodaření PO'!R30</f>
        <v>1326371.0501696928</v>
      </c>
      <c r="G30" s="71">
        <f t="shared" si="18"/>
        <v>10044008.940000003</v>
      </c>
      <c r="H30" s="71">
        <f>+'[1]Vyhodnocení hospodaření PO'!T30</f>
        <v>68551.95</v>
      </c>
      <c r="I30" s="20">
        <f t="shared" si="19"/>
        <v>10112560.890000002</v>
      </c>
      <c r="J30" s="75">
        <f>+'[2]NR 2022'!V30</f>
        <v>19011472</v>
      </c>
      <c r="K30" s="74">
        <f>+'[2]NR 2022'!W30</f>
        <v>0</v>
      </c>
      <c r="L30" s="74">
        <f>+'[2]NR 2022'!X30</f>
        <v>1700000</v>
      </c>
      <c r="M30" s="71">
        <f t="shared" si="20"/>
        <v>20711472</v>
      </c>
      <c r="N30" s="71">
        <f>+'[4]NR 2022'!Z30</f>
        <v>70000</v>
      </c>
      <c r="O30" s="20">
        <f t="shared" si="21"/>
        <v>20781472</v>
      </c>
      <c r="P30" s="75">
        <f>+'[3]Vyhodnocení hosp. 1.pol. 2022'!P30</f>
        <v>7642808.5695598237</v>
      </c>
      <c r="Q30" s="74">
        <f>+'[3]Vyhodnocení hosp. 1.pol. 2022'!Q30</f>
        <v>0</v>
      </c>
      <c r="R30" s="74">
        <f>+'[3]Vyhodnocení hosp. 1.pol. 2022'!R30</f>
        <v>1303290.7304401766</v>
      </c>
      <c r="S30" s="71">
        <f t="shared" si="22"/>
        <v>8946099.3000000007</v>
      </c>
      <c r="T30" s="71">
        <f>+'[3]Vyhodnocení hosp. 1.pol. 2022'!T30</f>
        <v>78597.569999999992</v>
      </c>
      <c r="U30" s="20">
        <f t="shared" si="23"/>
        <v>9024696.870000001</v>
      </c>
      <c r="V30" s="75">
        <f t="shared" ref="V30:V38" si="26">+J30</f>
        <v>19011472</v>
      </c>
      <c r="W30" s="74">
        <f t="shared" si="15"/>
        <v>0</v>
      </c>
      <c r="X30" s="74">
        <f t="shared" si="15"/>
        <v>1700000</v>
      </c>
      <c r="Y30" s="71">
        <f t="shared" si="24"/>
        <v>20711472</v>
      </c>
      <c r="Z30" s="71">
        <f t="shared" si="16"/>
        <v>70000</v>
      </c>
      <c r="AA30" s="20">
        <f t="shared" si="25"/>
        <v>20781472</v>
      </c>
      <c r="AB30" s="21">
        <f t="shared" si="17"/>
        <v>1</v>
      </c>
      <c r="AC30" s="3"/>
      <c r="AD30" s="3"/>
    </row>
    <row r="31" spans="1:30" x14ac:dyDescent="0.25">
      <c r="A31" s="1"/>
      <c r="B31" s="22" t="s">
        <v>56</v>
      </c>
      <c r="C31" s="41" t="s">
        <v>57</v>
      </c>
      <c r="D31" s="74">
        <f>+'[1]Vyhodnocení hospodaření PO'!P31</f>
        <v>28821698.388624992</v>
      </c>
      <c r="E31" s="74">
        <f>+'[1]Vyhodnocení hospodaření PO'!Q31</f>
        <v>0</v>
      </c>
      <c r="F31" s="74">
        <f>+'[1]Vyhodnocení hospodaření PO'!R31</f>
        <v>4385163.3713749945</v>
      </c>
      <c r="G31" s="71">
        <f t="shared" si="18"/>
        <v>33206861.759999987</v>
      </c>
      <c r="H31" s="71">
        <f>+'[1]Vyhodnocení hospodaření PO'!T31</f>
        <v>4094145.4</v>
      </c>
      <c r="I31" s="20">
        <f t="shared" si="19"/>
        <v>37301007.159999989</v>
      </c>
      <c r="J31" s="75">
        <f>+'[2]NR 2022'!V31</f>
        <v>27834789</v>
      </c>
      <c r="K31" s="74">
        <f>+'[2]NR 2022'!W31</f>
        <v>0</v>
      </c>
      <c r="L31" s="74">
        <f>+'[2]NR 2022'!X31</f>
        <v>5000000</v>
      </c>
      <c r="M31" s="71">
        <f t="shared" si="20"/>
        <v>32834789</v>
      </c>
      <c r="N31" s="71">
        <f>+'[4]NR 2022'!Z31</f>
        <v>4000000</v>
      </c>
      <c r="O31" s="20">
        <f t="shared" si="21"/>
        <v>36834789</v>
      </c>
      <c r="P31" s="75">
        <f>+'[3]Vyhodnocení hosp. 1.pol. 2022'!P31</f>
        <v>14452933.23836031</v>
      </c>
      <c r="Q31" s="74">
        <f>+'[3]Vyhodnocení hosp. 1.pol. 2022'!Q31</f>
        <v>0</v>
      </c>
      <c r="R31" s="74">
        <f>+'[3]Vyhodnocení hosp. 1.pol. 2022'!R31</f>
        <v>2464587.95163969</v>
      </c>
      <c r="S31" s="71">
        <f t="shared" si="22"/>
        <v>16917521.190000001</v>
      </c>
      <c r="T31" s="71">
        <f>+'[3]Vyhodnocení hosp. 1.pol. 2022'!T31</f>
        <v>1971360.67</v>
      </c>
      <c r="U31" s="20">
        <f t="shared" si="23"/>
        <v>18888881.859999999</v>
      </c>
      <c r="V31" s="75">
        <f>+J31+2800000+3620000+150000</f>
        <v>34404789</v>
      </c>
      <c r="W31" s="74">
        <f t="shared" si="15"/>
        <v>0</v>
      </c>
      <c r="X31" s="74">
        <f t="shared" si="15"/>
        <v>5000000</v>
      </c>
      <c r="Y31" s="71">
        <f t="shared" si="24"/>
        <v>39404789</v>
      </c>
      <c r="Z31" s="71">
        <f t="shared" si="16"/>
        <v>4000000</v>
      </c>
      <c r="AA31" s="20">
        <f t="shared" si="25"/>
        <v>43404789</v>
      </c>
      <c r="AB31" s="21">
        <f t="shared" si="17"/>
        <v>1.1783639917144633</v>
      </c>
      <c r="AC31" s="3"/>
      <c r="AD31" s="3"/>
    </row>
    <row r="32" spans="1:30" x14ac:dyDescent="0.25">
      <c r="A32" s="1"/>
      <c r="B32" s="22" t="s">
        <v>58</v>
      </c>
      <c r="C32" s="41" t="s">
        <v>59</v>
      </c>
      <c r="D32" s="76">
        <f>+'[1]Vyhodnocení hospodaření PO'!P32</f>
        <v>48699934.259771712</v>
      </c>
      <c r="E32" s="74">
        <f>+'[1]Vyhodnocení hospodaření PO'!Q32</f>
        <v>0</v>
      </c>
      <c r="F32" s="74">
        <f>+'[1]Vyhodnocení hospodaření PO'!R32</f>
        <v>7409596.9302282799</v>
      </c>
      <c r="G32" s="71">
        <f t="shared" si="18"/>
        <v>56109531.18999999</v>
      </c>
      <c r="H32" s="71">
        <f>+'[1]Vyhodnocení hospodaření PO'!T32</f>
        <v>3235672.81</v>
      </c>
      <c r="I32" s="20">
        <f t="shared" si="19"/>
        <v>59345203.999999993</v>
      </c>
      <c r="J32" s="77">
        <f>+'[2]NR 2022'!V32</f>
        <v>53826525</v>
      </c>
      <c r="K32" s="74">
        <f>+'[2]NR 2022'!W32</f>
        <v>0</v>
      </c>
      <c r="L32" s="74">
        <f>+'[2]NR 2022'!X32</f>
        <v>8100000</v>
      </c>
      <c r="M32" s="71">
        <f t="shared" si="20"/>
        <v>61926525</v>
      </c>
      <c r="N32" s="71">
        <f>+'[4]NR 2022'!Z32</f>
        <v>3300000</v>
      </c>
      <c r="O32" s="20">
        <f t="shared" si="21"/>
        <v>65226525</v>
      </c>
      <c r="P32" s="77">
        <f>+'[3]Vyhodnocení hosp. 1.pol. 2022'!P32</f>
        <v>23089743.564456102</v>
      </c>
      <c r="Q32" s="74">
        <f>+'[3]Vyhodnocení hosp. 1.pol. 2022'!Q32</f>
        <v>0</v>
      </c>
      <c r="R32" s="74">
        <f>+'[3]Vyhodnocení hosp. 1.pol. 2022'!R32</f>
        <v>3937380.9355438957</v>
      </c>
      <c r="S32" s="71">
        <f t="shared" si="22"/>
        <v>27027124.499999996</v>
      </c>
      <c r="T32" s="71">
        <f>+'[3]Vyhodnocení hosp. 1.pol. 2022'!T32</f>
        <v>1512920.5</v>
      </c>
      <c r="U32" s="20">
        <f t="shared" si="23"/>
        <v>28540044.999999996</v>
      </c>
      <c r="V32" s="77">
        <f>+J32+4558823+625000</f>
        <v>59010348</v>
      </c>
      <c r="W32" s="74">
        <f t="shared" si="15"/>
        <v>0</v>
      </c>
      <c r="X32" s="74">
        <f t="shared" si="15"/>
        <v>8100000</v>
      </c>
      <c r="Y32" s="71">
        <f t="shared" si="24"/>
        <v>67110348</v>
      </c>
      <c r="Z32" s="71">
        <f t="shared" si="16"/>
        <v>3300000</v>
      </c>
      <c r="AA32" s="20">
        <f t="shared" si="25"/>
        <v>70410348</v>
      </c>
      <c r="AB32" s="21">
        <f t="shared" si="17"/>
        <v>1.079474155644502</v>
      </c>
      <c r="AC32" s="3"/>
      <c r="AD32" s="3"/>
    </row>
    <row r="33" spans="1:30" x14ac:dyDescent="0.25">
      <c r="A33" s="1"/>
      <c r="B33" s="22" t="s">
        <v>60</v>
      </c>
      <c r="C33" s="35" t="s">
        <v>61</v>
      </c>
      <c r="D33" s="76">
        <f>+'[1]Vyhodnocení hospodaření PO'!P33</f>
        <v>47877716.965404935</v>
      </c>
      <c r="E33" s="74">
        <f>+'[1]Vyhodnocení hospodaření PO'!Q33</f>
        <v>0</v>
      </c>
      <c r="F33" s="74">
        <f>+'[1]Vyhodnocení hospodaření PO'!R33</f>
        <v>7284498.2245950541</v>
      </c>
      <c r="G33" s="71">
        <f t="shared" si="18"/>
        <v>55162215.18999999</v>
      </c>
      <c r="H33" s="71">
        <f>+'[1]Vyhodnocení hospodaření PO'!T33</f>
        <v>3235672.81</v>
      </c>
      <c r="I33" s="20">
        <f t="shared" si="19"/>
        <v>58397887.999999993</v>
      </c>
      <c r="J33" s="77">
        <f>+'[2]NR 2022'!V33</f>
        <v>52926525</v>
      </c>
      <c r="K33" s="74">
        <f>+'[2]NR 2022'!W33</f>
        <v>0</v>
      </c>
      <c r="L33" s="74">
        <f>+'[2]NR 2022'!X33</f>
        <v>7900000</v>
      </c>
      <c r="M33" s="71">
        <f t="shared" si="20"/>
        <v>60826525</v>
      </c>
      <c r="N33" s="71">
        <f>+'[4]NR 2022'!Z33</f>
        <v>3300000</v>
      </c>
      <c r="O33" s="20">
        <f t="shared" si="21"/>
        <v>64126525</v>
      </c>
      <c r="P33" s="77">
        <f>+'[3]Vyhodnocení hosp. 1.pol. 2022'!P33</f>
        <v>22682535.724022787</v>
      </c>
      <c r="Q33" s="74">
        <f>+'[3]Vyhodnocení hosp. 1.pol. 2022'!Q33</f>
        <v>0</v>
      </c>
      <c r="R33" s="74">
        <f>+'[3]Vyhodnocení hosp. 1.pol. 2022'!R33</f>
        <v>3867941.7759772097</v>
      </c>
      <c r="S33" s="71">
        <f t="shared" si="22"/>
        <v>26550477.499999996</v>
      </c>
      <c r="T33" s="71">
        <f>+'[3]Vyhodnocení hosp. 1.pol. 2022'!T33</f>
        <v>1512920.5</v>
      </c>
      <c r="U33" s="20">
        <f t="shared" si="23"/>
        <v>28063397.999999996</v>
      </c>
      <c r="V33" s="77">
        <f>+J33+4558823+625000</f>
        <v>58110348</v>
      </c>
      <c r="W33" s="74">
        <f t="shared" si="15"/>
        <v>0</v>
      </c>
      <c r="X33" s="74">
        <f t="shared" si="15"/>
        <v>7900000</v>
      </c>
      <c r="Y33" s="71">
        <f t="shared" si="24"/>
        <v>66010348</v>
      </c>
      <c r="Z33" s="71">
        <f t="shared" si="16"/>
        <v>3300000</v>
      </c>
      <c r="AA33" s="20">
        <f t="shared" si="25"/>
        <v>69310348</v>
      </c>
      <c r="AB33" s="21">
        <f t="shared" si="17"/>
        <v>1.0808374225798139</v>
      </c>
      <c r="AC33" s="3"/>
      <c r="AD33" s="3"/>
    </row>
    <row r="34" spans="1:30" x14ac:dyDescent="0.25">
      <c r="A34" s="1"/>
      <c r="B34" s="22" t="s">
        <v>62</v>
      </c>
      <c r="C34" s="78" t="s">
        <v>63</v>
      </c>
      <c r="D34" s="76">
        <f>+'[1]Vyhodnocení hospodaření PO'!P34</f>
        <v>822217.29436677368</v>
      </c>
      <c r="E34" s="74">
        <f>+'[1]Vyhodnocení hospodaření PO'!Q34</f>
        <v>0</v>
      </c>
      <c r="F34" s="74">
        <f>+'[1]Vyhodnocení hospodaření PO'!R34</f>
        <v>125098.70563322619</v>
      </c>
      <c r="G34" s="71">
        <f t="shared" si="18"/>
        <v>947315.99999999988</v>
      </c>
      <c r="H34" s="71">
        <f>+'[1]Vyhodnocení hospodaření PO'!T34</f>
        <v>0</v>
      </c>
      <c r="I34" s="20">
        <f t="shared" si="19"/>
        <v>947315.99999999988</v>
      </c>
      <c r="J34" s="77">
        <f>+'[2]NR 2022'!V34</f>
        <v>900000</v>
      </c>
      <c r="K34" s="74">
        <f>+'[2]NR 2022'!W34</f>
        <v>0</v>
      </c>
      <c r="L34" s="74">
        <f>+'[2]NR 2022'!X34</f>
        <v>200000</v>
      </c>
      <c r="M34" s="71">
        <f>SUM(J34:L34)</f>
        <v>1100000</v>
      </c>
      <c r="N34" s="71">
        <f>+'[4]NR 2022'!Z34</f>
        <v>0</v>
      </c>
      <c r="O34" s="20">
        <f t="shared" si="21"/>
        <v>1100000</v>
      </c>
      <c r="P34" s="77">
        <f>+'[3]Vyhodnocení hosp. 1.pol. 2022'!P34</f>
        <v>407207.84043331386</v>
      </c>
      <c r="Q34" s="74">
        <f>+'[3]Vyhodnocení hosp. 1.pol. 2022'!Q34</f>
        <v>0</v>
      </c>
      <c r="R34" s="74">
        <f>+'[3]Vyhodnocení hosp. 1.pol. 2022'!R34</f>
        <v>69439.159566686096</v>
      </c>
      <c r="S34" s="71">
        <f t="shared" si="22"/>
        <v>476646.99999999994</v>
      </c>
      <c r="T34" s="71">
        <f>+'[3]Vyhodnocení hosp. 1.pol. 2022'!T34</f>
        <v>0</v>
      </c>
      <c r="U34" s="20">
        <f t="shared" si="23"/>
        <v>476646.99999999994</v>
      </c>
      <c r="V34" s="77">
        <f t="shared" si="26"/>
        <v>900000</v>
      </c>
      <c r="W34" s="74">
        <f t="shared" si="15"/>
        <v>0</v>
      </c>
      <c r="X34" s="74">
        <f t="shared" si="15"/>
        <v>200000</v>
      </c>
      <c r="Y34" s="71">
        <f t="shared" si="24"/>
        <v>1100000</v>
      </c>
      <c r="Z34" s="71">
        <f t="shared" si="16"/>
        <v>0</v>
      </c>
      <c r="AA34" s="20">
        <f t="shared" si="25"/>
        <v>1100000</v>
      </c>
      <c r="AB34" s="21">
        <f t="shared" si="17"/>
        <v>1</v>
      </c>
      <c r="AC34" s="3"/>
      <c r="AD34" s="3"/>
    </row>
    <row r="35" spans="1:30" x14ac:dyDescent="0.25">
      <c r="A35" s="1"/>
      <c r="B35" s="22" t="s">
        <v>64</v>
      </c>
      <c r="C35" s="41" t="s">
        <v>65</v>
      </c>
      <c r="D35" s="76">
        <f>+'[1]Vyhodnocení hospodaření PO'!P35</f>
        <v>17197122.87459603</v>
      </c>
      <c r="E35" s="74">
        <f>+'[1]Vyhodnocení hospodaření PO'!Q35</f>
        <v>0</v>
      </c>
      <c r="F35" s="74">
        <f>+'[1]Vyhodnocení hospodaření PO'!R35</f>
        <v>2616507.6154039674</v>
      </c>
      <c r="G35" s="71">
        <f t="shared" si="18"/>
        <v>19813630.489999998</v>
      </c>
      <c r="H35" s="71">
        <f>+'[1]Vyhodnocení hospodaření PO'!T35</f>
        <v>1191993.53</v>
      </c>
      <c r="I35" s="20">
        <f t="shared" si="19"/>
        <v>21005624.02</v>
      </c>
      <c r="J35" s="77">
        <f>+'[2]NR 2022'!V35</f>
        <v>17951441</v>
      </c>
      <c r="K35" s="74">
        <f>+'[2]NR 2022'!W35</f>
        <v>0</v>
      </c>
      <c r="L35" s="74">
        <f>+'[2]NR 2022'!X35</f>
        <v>2670000</v>
      </c>
      <c r="M35" s="71">
        <f t="shared" si="20"/>
        <v>20621441</v>
      </c>
      <c r="N35" s="71">
        <f>+'[4]NR 2022'!Z35</f>
        <v>1150000</v>
      </c>
      <c r="O35" s="20">
        <f t="shared" si="21"/>
        <v>21771441</v>
      </c>
      <c r="P35" s="77">
        <f>+'[3]Vyhodnocení hosp. 1.pol. 2022'!P35</f>
        <v>8113823.3797959844</v>
      </c>
      <c r="Q35" s="74">
        <f>+'[3]Vyhodnocení hosp. 1.pol. 2022'!Q35</f>
        <v>0</v>
      </c>
      <c r="R35" s="74">
        <f>+'[3]Vyhodnocení hosp. 1.pol. 2022'!R35</f>
        <v>1383610.5802040158</v>
      </c>
      <c r="S35" s="71">
        <f t="shared" si="22"/>
        <v>9497433.9600000009</v>
      </c>
      <c r="T35" s="71">
        <f>+'[3]Vyhodnocení hosp. 1.pol. 2022'!T35</f>
        <v>567117.49</v>
      </c>
      <c r="U35" s="20">
        <f t="shared" si="23"/>
        <v>10064551.450000001</v>
      </c>
      <c r="V35" s="77">
        <f>+J35+1550000+91177+225000</f>
        <v>19817618</v>
      </c>
      <c r="W35" s="74">
        <f t="shared" si="15"/>
        <v>0</v>
      </c>
      <c r="X35" s="74">
        <f t="shared" si="15"/>
        <v>2670000</v>
      </c>
      <c r="Y35" s="71">
        <f t="shared" si="24"/>
        <v>22487618</v>
      </c>
      <c r="Z35" s="71">
        <f t="shared" si="16"/>
        <v>1150000</v>
      </c>
      <c r="AA35" s="20">
        <f t="shared" si="25"/>
        <v>23637618</v>
      </c>
      <c r="AB35" s="21">
        <f t="shared" si="17"/>
        <v>1.0857167424057967</v>
      </c>
      <c r="AC35" s="3"/>
      <c r="AD35" s="3"/>
    </row>
    <row r="36" spans="1:30" x14ac:dyDescent="0.25">
      <c r="A36" s="1"/>
      <c r="B36" s="22" t="s">
        <v>66</v>
      </c>
      <c r="C36" s="41" t="s">
        <v>67</v>
      </c>
      <c r="D36" s="74">
        <f>+'[1]Vyhodnocení hospodaření PO'!P36</f>
        <v>66203.301058063022</v>
      </c>
      <c r="E36" s="74">
        <f>+'[1]Vyhodnocení hospodaření PO'!Q36</f>
        <v>0</v>
      </c>
      <c r="F36" s="74">
        <f>+'[1]Vyhodnocení hospodaření PO'!R36</f>
        <v>10072.698941936967</v>
      </c>
      <c r="G36" s="71">
        <f t="shared" si="18"/>
        <v>76275.999999999985</v>
      </c>
      <c r="H36" s="71">
        <f>+'[1]Vyhodnocení hospodaření PO'!T36</f>
        <v>253981</v>
      </c>
      <c r="I36" s="20">
        <f t="shared" si="19"/>
        <v>330257</v>
      </c>
      <c r="J36" s="75">
        <f>+'[2]NR 2022'!V36</f>
        <v>60000</v>
      </c>
      <c r="K36" s="74">
        <f>+'[2]NR 2022'!W36</f>
        <v>0</v>
      </c>
      <c r="L36" s="74">
        <f>+'[2]NR 2022'!X36</f>
        <v>10000</v>
      </c>
      <c r="M36" s="71">
        <f t="shared" si="20"/>
        <v>70000</v>
      </c>
      <c r="N36" s="71">
        <f>+'[4]NR 2022'!Z36</f>
        <v>250000</v>
      </c>
      <c r="O36" s="20">
        <f t="shared" si="21"/>
        <v>320000</v>
      </c>
      <c r="P36" s="75">
        <f>+'[3]Vyhodnocení hosp. 1.pol. 2022'!P36</f>
        <v>32690.926363730381</v>
      </c>
      <c r="Q36" s="74">
        <f>+'[3]Vyhodnocení hosp. 1.pol. 2022'!Q36</f>
        <v>0</v>
      </c>
      <c r="R36" s="74">
        <f>+'[3]Vyhodnocení hosp. 1.pol. 2022'!R36</f>
        <v>5574.62363626962</v>
      </c>
      <c r="S36" s="71">
        <f t="shared" si="22"/>
        <v>38265.550000000003</v>
      </c>
      <c r="T36" s="71">
        <f>+'[3]Vyhodnocení hosp. 1.pol. 2022'!T36</f>
        <v>3000</v>
      </c>
      <c r="U36" s="20">
        <f t="shared" si="23"/>
        <v>41265.550000000003</v>
      </c>
      <c r="V36" s="75">
        <f t="shared" si="26"/>
        <v>60000</v>
      </c>
      <c r="W36" s="74">
        <f t="shared" si="15"/>
        <v>0</v>
      </c>
      <c r="X36" s="74">
        <f t="shared" si="15"/>
        <v>10000</v>
      </c>
      <c r="Y36" s="71">
        <f t="shared" si="24"/>
        <v>70000</v>
      </c>
      <c r="Z36" s="71">
        <f t="shared" si="16"/>
        <v>250000</v>
      </c>
      <c r="AA36" s="20">
        <f t="shared" si="25"/>
        <v>320000</v>
      </c>
      <c r="AB36" s="21">
        <f t="shared" si="17"/>
        <v>1</v>
      </c>
      <c r="AC36" s="3"/>
      <c r="AD36" s="3"/>
    </row>
    <row r="37" spans="1:30" x14ac:dyDescent="0.25">
      <c r="A37" s="1"/>
      <c r="B37" s="22" t="s">
        <v>68</v>
      </c>
      <c r="C37" s="41" t="s">
        <v>69</v>
      </c>
      <c r="D37" s="74">
        <f>+'[1]Vyhodnocení hospodaření PO'!P37</f>
        <v>13157992.706107128</v>
      </c>
      <c r="E37" s="74">
        <f>+'[1]Vyhodnocení hospodaření PO'!Q37</f>
        <v>0</v>
      </c>
      <c r="F37" s="74">
        <f>+'[1]Vyhodnocení hospodaření PO'!R37</f>
        <v>2001962.0938928658</v>
      </c>
      <c r="G37" s="71">
        <f t="shared" si="18"/>
        <v>15159954.799999993</v>
      </c>
      <c r="H37" s="71">
        <f>+'[1]Vyhodnocení hospodaření PO'!T37</f>
        <v>878761.19999999984</v>
      </c>
      <c r="I37" s="20">
        <f t="shared" si="19"/>
        <v>16038715.999999993</v>
      </c>
      <c r="J37" s="75">
        <f>+'[2]NR 2022'!V37</f>
        <v>17366407</v>
      </c>
      <c r="K37" s="74">
        <f>+'[2]NR 2022'!W37</f>
        <v>0</v>
      </c>
      <c r="L37" s="74">
        <f>+'[2]NR 2022'!X37</f>
        <v>2250000</v>
      </c>
      <c r="M37" s="71">
        <f t="shared" si="20"/>
        <v>19616407</v>
      </c>
      <c r="N37" s="71">
        <f>+'[4]NR 2022'!Z37</f>
        <v>1000000</v>
      </c>
      <c r="O37" s="20">
        <f t="shared" si="21"/>
        <v>20616407</v>
      </c>
      <c r="P37" s="75">
        <f>+'[3]Vyhodnocení hosp. 1.pol. 2022'!P37</f>
        <v>6258555.8237701608</v>
      </c>
      <c r="Q37" s="74">
        <f>+'[3]Vyhodnocení hosp. 1.pol. 2022'!Q37</f>
        <v>0</v>
      </c>
      <c r="R37" s="74">
        <f>+'[3]Vyhodnocení hosp. 1.pol. 2022'!R37</f>
        <v>1067240.8862298389</v>
      </c>
      <c r="S37" s="71">
        <f t="shared" si="22"/>
        <v>7325796.71</v>
      </c>
      <c r="T37" s="71">
        <f>+'[3]Vyhodnocení hosp. 1.pol. 2022'!T37</f>
        <v>454628.29</v>
      </c>
      <c r="U37" s="20">
        <f t="shared" si="23"/>
        <v>7780425</v>
      </c>
      <c r="V37" s="75">
        <f>+J37+150000</f>
        <v>17516407</v>
      </c>
      <c r="W37" s="74">
        <f t="shared" si="15"/>
        <v>0</v>
      </c>
      <c r="X37" s="74">
        <f t="shared" si="15"/>
        <v>2250000</v>
      </c>
      <c r="Y37" s="71">
        <f t="shared" si="24"/>
        <v>19766407</v>
      </c>
      <c r="Z37" s="71">
        <f t="shared" si="16"/>
        <v>1000000</v>
      </c>
      <c r="AA37" s="20">
        <f t="shared" si="25"/>
        <v>20766407</v>
      </c>
      <c r="AB37" s="21">
        <f t="shared" si="17"/>
        <v>1.0072757585742269</v>
      </c>
      <c r="AC37" s="3"/>
      <c r="AD37" s="3"/>
    </row>
    <row r="38" spans="1:30" ht="15.75" thickBot="1" x14ac:dyDescent="0.3">
      <c r="A38" s="1"/>
      <c r="B38" s="79" t="s">
        <v>70</v>
      </c>
      <c r="C38" s="80" t="s">
        <v>71</v>
      </c>
      <c r="D38" s="81">
        <f>+'[1]Vyhodnocení hospodaření PO'!P38</f>
        <v>8520598.1929330602</v>
      </c>
      <c r="E38" s="81">
        <f>+'[1]Vyhodnocení hospodaření PO'!Q38</f>
        <v>0</v>
      </c>
      <c r="F38" s="81">
        <f>+'[1]Vyhodnocení hospodaření PO'!R38</f>
        <v>1296391.8570669829</v>
      </c>
      <c r="G38" s="71">
        <f t="shared" si="18"/>
        <v>9816990.0500000436</v>
      </c>
      <c r="H38" s="82">
        <f>+'[1]Vyhodnocení hospodaření PO'!T38</f>
        <v>2548512.4600000004</v>
      </c>
      <c r="I38" s="50">
        <f t="shared" si="19"/>
        <v>12365502.510000044</v>
      </c>
      <c r="J38" s="83">
        <f>+'[2]NR 2022'!V38</f>
        <v>6200000</v>
      </c>
      <c r="K38" s="81">
        <f>+'[2]NR 2022'!W38</f>
        <v>0</v>
      </c>
      <c r="L38" s="81">
        <f>+'[2]NR 2022'!X38</f>
        <v>1100000</v>
      </c>
      <c r="M38" s="82">
        <f t="shared" si="20"/>
        <v>7300000</v>
      </c>
      <c r="N38" s="82">
        <f>+'[4]NR 2022'!Z38</f>
        <v>2283000</v>
      </c>
      <c r="O38" s="50">
        <f t="shared" si="21"/>
        <v>9583000</v>
      </c>
      <c r="P38" s="83">
        <f>+'[3]Vyhodnocení hosp. 1.pol. 2022'!P38</f>
        <v>7621747.7312198197</v>
      </c>
      <c r="Q38" s="81">
        <f>+'[3]Vyhodnocení hosp. 1.pol. 2022'!Q38</f>
        <v>0</v>
      </c>
      <c r="R38" s="81">
        <f>+'[3]Vyhodnocení hosp. 1.pol. 2022'!R38</f>
        <v>1299699.3287801705</v>
      </c>
      <c r="S38" s="82">
        <f t="shared" si="22"/>
        <v>8921447.0599999912</v>
      </c>
      <c r="T38" s="82">
        <f>+'[3]Vyhodnocení hosp. 1.pol. 2022'!T38</f>
        <v>1077287.49</v>
      </c>
      <c r="U38" s="50">
        <f t="shared" si="23"/>
        <v>9998734.5499999914</v>
      </c>
      <c r="V38" s="83">
        <f t="shared" si="26"/>
        <v>6200000</v>
      </c>
      <c r="W38" s="81">
        <f t="shared" si="15"/>
        <v>0</v>
      </c>
      <c r="X38" s="81">
        <f t="shared" si="15"/>
        <v>1100000</v>
      </c>
      <c r="Y38" s="82">
        <f t="shared" si="24"/>
        <v>7300000</v>
      </c>
      <c r="Z38" s="82">
        <f t="shared" si="16"/>
        <v>2283000</v>
      </c>
      <c r="AA38" s="50">
        <f t="shared" si="25"/>
        <v>9583000</v>
      </c>
      <c r="AB38" s="51">
        <f t="shared" si="17"/>
        <v>1</v>
      </c>
      <c r="AC38" s="3"/>
      <c r="AD38" s="3"/>
    </row>
    <row r="39" spans="1:30" ht="15.75" thickBot="1" x14ac:dyDescent="0.3">
      <c r="A39" s="1"/>
      <c r="B39" s="52" t="s">
        <v>72</v>
      </c>
      <c r="C39" s="84" t="s">
        <v>73</v>
      </c>
      <c r="D39" s="85">
        <f>SUM(D35:D38)+SUM(D28:D32)</f>
        <v>140947920.73758391</v>
      </c>
      <c r="E39" s="85">
        <f>SUM(E35:E38)+SUM(E28:E32)</f>
        <v>0</v>
      </c>
      <c r="F39" s="85">
        <f>SUM(F35:F38)+SUM(F28:F32)</f>
        <v>21444942.312416099</v>
      </c>
      <c r="G39" s="86">
        <f>SUM(D39:F39)</f>
        <v>162392863.05000001</v>
      </c>
      <c r="H39" s="87">
        <f>SUM(H28:H32)+SUM(H35:H38)</f>
        <v>14863740.18</v>
      </c>
      <c r="I39" s="88">
        <f>SUM(I35:I38)+SUM(I28:I32)</f>
        <v>177256603.23000002</v>
      </c>
      <c r="J39" s="85">
        <f>SUM(J35:J38)+SUM(J28:J32)</f>
        <v>157763600</v>
      </c>
      <c r="K39" s="85">
        <f>SUM(K35:K38)+SUM(K28:K32)</f>
        <v>0</v>
      </c>
      <c r="L39" s="85">
        <f>SUM(L35:L38)+SUM(L28:L32)</f>
        <v>23280000</v>
      </c>
      <c r="M39" s="86">
        <f>SUM(J39:L39)</f>
        <v>181043600</v>
      </c>
      <c r="N39" s="87">
        <f>SUM(N28:N32)+SUM(N35:N38)</f>
        <v>14383000</v>
      </c>
      <c r="O39" s="88">
        <f>SUM(O35:O38)+SUM(O28:O32)</f>
        <v>195426600</v>
      </c>
      <c r="P39" s="85">
        <f>SUM(P35:P38)+SUM(P28:P32)</f>
        <v>77683283.123042494</v>
      </c>
      <c r="Q39" s="85">
        <f>SUM(Q35:Q38)+SUM(Q28:Q32)</f>
        <v>0</v>
      </c>
      <c r="R39" s="85">
        <f>SUM(R35:R38)+SUM(R28:R32)</f>
        <v>13246949.9769575</v>
      </c>
      <c r="S39" s="86">
        <f>SUM(P39:R39)</f>
        <v>90930233.099999994</v>
      </c>
      <c r="T39" s="87">
        <f>SUM(T28:T32)+SUM(T35:T38)</f>
        <v>7042085.6799999997</v>
      </c>
      <c r="U39" s="88">
        <f>SUM(U35:U38)+SUM(U28:U32)</f>
        <v>97972318.780000001</v>
      </c>
      <c r="V39" s="85">
        <f>SUM(V35:V38)+SUM(V28:V32)</f>
        <v>172113600</v>
      </c>
      <c r="W39" s="85">
        <f>SUM(W35:W38)+SUM(W28:W32)</f>
        <v>0</v>
      </c>
      <c r="X39" s="85">
        <f>SUM(X35:X38)+SUM(X28:X32)</f>
        <v>23280000</v>
      </c>
      <c r="Y39" s="86">
        <f>SUM(V39:X39)</f>
        <v>195393600</v>
      </c>
      <c r="Z39" s="87">
        <f>SUM(Z28:Z32)+SUM(Z35:Z38)</f>
        <v>14383000</v>
      </c>
      <c r="AA39" s="88">
        <f>SUM(AA35:AA38)+SUM(AA28:AA32)</f>
        <v>209776600</v>
      </c>
      <c r="AB39" s="89">
        <f t="shared" si="17"/>
        <v>1.0734291033052819</v>
      </c>
      <c r="AC39" s="3"/>
      <c r="AD39" s="3"/>
    </row>
    <row r="40" spans="1:30" ht="19.5" thickBot="1" x14ac:dyDescent="0.35">
      <c r="A40" s="1"/>
      <c r="B40" s="90" t="s">
        <v>74</v>
      </c>
      <c r="C40" s="91" t="s">
        <v>75</v>
      </c>
      <c r="D40" s="92">
        <f t="shared" ref="D40:AA40" si="27">D24-D39</f>
        <v>-10678220.737583891</v>
      </c>
      <c r="E40" s="92">
        <f t="shared" si="27"/>
        <v>0</v>
      </c>
      <c r="F40" s="92">
        <f t="shared" si="27"/>
        <v>8007825.0175838992</v>
      </c>
      <c r="G40" s="93">
        <f t="shared" si="27"/>
        <v>-2670395.7199999988</v>
      </c>
      <c r="H40" s="93">
        <f t="shared" si="27"/>
        <v>2699121.450000003</v>
      </c>
      <c r="I40" s="94">
        <f t="shared" si="27"/>
        <v>28725.730000019073</v>
      </c>
      <c r="J40" s="92">
        <f t="shared" si="27"/>
        <v>-3097000</v>
      </c>
      <c r="K40" s="92">
        <f t="shared" si="27"/>
        <v>0</v>
      </c>
      <c r="L40" s="92">
        <f t="shared" si="27"/>
        <v>380000</v>
      </c>
      <c r="M40" s="93">
        <f t="shared" si="27"/>
        <v>-2717000</v>
      </c>
      <c r="N40" s="93">
        <f t="shared" si="27"/>
        <v>2717000</v>
      </c>
      <c r="O40" s="94">
        <f t="shared" si="27"/>
        <v>0</v>
      </c>
      <c r="P40" s="92">
        <f t="shared" si="27"/>
        <v>-6406983.1230424941</v>
      </c>
      <c r="Q40" s="92">
        <f t="shared" si="27"/>
        <v>0</v>
      </c>
      <c r="R40" s="92">
        <f t="shared" si="27"/>
        <v>2305064.5530425012</v>
      </c>
      <c r="S40" s="93">
        <f t="shared" si="27"/>
        <v>-4101918.5699999928</v>
      </c>
      <c r="T40" s="93">
        <f t="shared" si="27"/>
        <v>1905090.6400000006</v>
      </c>
      <c r="U40" s="94">
        <f t="shared" si="27"/>
        <v>-2196827.9300000072</v>
      </c>
      <c r="V40" s="92">
        <f t="shared" si="27"/>
        <v>-3097000</v>
      </c>
      <c r="W40" s="92">
        <f t="shared" si="27"/>
        <v>0</v>
      </c>
      <c r="X40" s="92">
        <f t="shared" si="27"/>
        <v>380000</v>
      </c>
      <c r="Y40" s="93">
        <f t="shared" si="27"/>
        <v>-2717000</v>
      </c>
      <c r="Z40" s="93">
        <f t="shared" si="27"/>
        <v>2717000</v>
      </c>
      <c r="AA40" s="94">
        <f t="shared" si="27"/>
        <v>0</v>
      </c>
      <c r="AB40" s="95"/>
      <c r="AC40" s="3"/>
      <c r="AD40" s="3"/>
    </row>
    <row r="41" spans="1:30" ht="15.75" thickBot="1" x14ac:dyDescent="0.3">
      <c r="A41" s="1"/>
      <c r="B41" s="96" t="s">
        <v>76</v>
      </c>
      <c r="C41" s="97" t="s">
        <v>77</v>
      </c>
      <c r="D41" s="98"/>
      <c r="E41" s="99"/>
      <c r="F41" s="99"/>
      <c r="G41" s="100"/>
      <c r="H41" s="101"/>
      <c r="I41" s="102">
        <f>I40-D16</f>
        <v>-130240974.27</v>
      </c>
      <c r="J41" s="98"/>
      <c r="K41" s="99"/>
      <c r="L41" s="99"/>
      <c r="M41" s="100"/>
      <c r="N41" s="103"/>
      <c r="O41" s="102">
        <f>O40-J16</f>
        <v>-154666600</v>
      </c>
      <c r="P41" s="98"/>
      <c r="Q41" s="99"/>
      <c r="R41" s="99"/>
      <c r="S41" s="100"/>
      <c r="T41" s="103"/>
      <c r="U41" s="102">
        <f>U40-P16</f>
        <v>-73473127.930000007</v>
      </c>
      <c r="V41" s="98"/>
      <c r="W41" s="99"/>
      <c r="X41" s="99"/>
      <c r="Y41" s="100"/>
      <c r="Z41" s="103"/>
      <c r="AA41" s="102">
        <f>AA40-V16</f>
        <v>-169016600</v>
      </c>
      <c r="AB41" s="21">
        <f t="shared" si="17"/>
        <v>1.0927802124052639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928" t="s">
        <v>78</v>
      </c>
      <c r="D43" s="112" t="s">
        <v>79</v>
      </c>
      <c r="E43" s="113" t="s">
        <v>80</v>
      </c>
      <c r="F43" s="114" t="s">
        <v>81</v>
      </c>
      <c r="G43" s="108"/>
      <c r="H43" s="108"/>
      <c r="I43" s="115"/>
      <c r="J43" s="112" t="s">
        <v>79</v>
      </c>
      <c r="K43" s="113" t="s">
        <v>80</v>
      </c>
      <c r="L43" s="114" t="s">
        <v>81</v>
      </c>
      <c r="M43" s="108"/>
      <c r="N43" s="108"/>
      <c r="O43" s="108"/>
      <c r="P43" s="112" t="s">
        <v>79</v>
      </c>
      <c r="Q43" s="113" t="s">
        <v>80</v>
      </c>
      <c r="R43" s="114" t="s">
        <v>81</v>
      </c>
      <c r="S43" s="109"/>
      <c r="T43" s="109"/>
      <c r="U43" s="109"/>
      <c r="V43" s="112" t="s">
        <v>79</v>
      </c>
      <c r="W43" s="113" t="s">
        <v>80</v>
      </c>
      <c r="X43" s="114" t="s">
        <v>81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929"/>
      <c r="D44" s="116">
        <v>0</v>
      </c>
      <c r="E44" s="117">
        <v>0</v>
      </c>
      <c r="F44" s="118">
        <v>0</v>
      </c>
      <c r="G44" s="108"/>
      <c r="H44" s="108"/>
      <c r="I44" s="115"/>
      <c r="J44" s="116">
        <v>0</v>
      </c>
      <c r="K44" s="117">
        <v>0</v>
      </c>
      <c r="L44" s="118">
        <v>0</v>
      </c>
      <c r="M44" s="119"/>
      <c r="N44" s="119"/>
      <c r="O44" s="119"/>
      <c r="P44" s="116">
        <v>0</v>
      </c>
      <c r="Q44" s="117">
        <v>0</v>
      </c>
      <c r="R44" s="118">
        <v>0</v>
      </c>
      <c r="S44" s="3"/>
      <c r="T44" s="3"/>
      <c r="U44" s="3"/>
      <c r="V44" s="116">
        <v>0</v>
      </c>
      <c r="W44" s="117">
        <v>0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928" t="s">
        <v>82</v>
      </c>
      <c r="D46" s="120" t="s">
        <v>83</v>
      </c>
      <c r="E46" s="121" t="s">
        <v>84</v>
      </c>
      <c r="F46" s="108"/>
      <c r="G46" s="108"/>
      <c r="H46" s="108"/>
      <c r="I46" s="115"/>
      <c r="J46" s="120" t="s">
        <v>83</v>
      </c>
      <c r="K46" s="121" t="s">
        <v>84</v>
      </c>
      <c r="L46" s="122"/>
      <c r="M46" s="122"/>
      <c r="N46" s="109"/>
      <c r="O46" s="109"/>
      <c r="P46" s="120" t="s">
        <v>83</v>
      </c>
      <c r="Q46" s="121" t="s">
        <v>84</v>
      </c>
      <c r="R46" s="109"/>
      <c r="S46" s="109"/>
      <c r="T46" s="109"/>
      <c r="U46" s="109"/>
      <c r="V46" s="120" t="s">
        <v>83</v>
      </c>
      <c r="W46" s="121" t="s">
        <v>84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930"/>
      <c r="D47" s="116"/>
      <c r="E47" s="124">
        <v>0</v>
      </c>
      <c r="F47" s="108"/>
      <c r="G47" s="108"/>
      <c r="H47" s="108"/>
      <c r="I47" s="115"/>
      <c r="J47" s="116">
        <v>13080800</v>
      </c>
      <c r="K47" s="124">
        <v>0</v>
      </c>
      <c r="L47" s="125"/>
      <c r="M47" s="125"/>
      <c r="N47" s="3"/>
      <c r="O47" s="3"/>
      <c r="P47" s="116">
        <v>4090000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85</v>
      </c>
      <c r="D49" s="127" t="s">
        <v>86</v>
      </c>
      <c r="E49" s="127" t="s">
        <v>87</v>
      </c>
      <c r="F49" s="127" t="s">
        <v>88</v>
      </c>
      <c r="G49" s="127" t="s">
        <v>89</v>
      </c>
      <c r="H49" s="108"/>
      <c r="I49" s="3"/>
      <c r="J49" s="127" t="s">
        <v>86</v>
      </c>
      <c r="K49" s="127" t="s">
        <v>87</v>
      </c>
      <c r="L49" s="127" t="s">
        <v>88</v>
      </c>
      <c r="M49" s="127" t="s">
        <v>90</v>
      </c>
      <c r="N49" s="3"/>
      <c r="O49" s="3"/>
      <c r="P49" s="127" t="s">
        <v>86</v>
      </c>
      <c r="Q49" s="127" t="s">
        <v>87</v>
      </c>
      <c r="R49" s="127" t="s">
        <v>88</v>
      </c>
      <c r="S49" s="127" t="s">
        <v>91</v>
      </c>
      <c r="T49" s="3"/>
      <c r="U49" s="3"/>
      <c r="V49" s="127" t="s">
        <v>92</v>
      </c>
      <c r="W49" s="127" t="s">
        <v>87</v>
      </c>
      <c r="X49" s="127" t="s">
        <v>88</v>
      </c>
      <c r="Y49" s="127" t="s">
        <v>90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>
        <f>SUM(D51:D54)</f>
        <v>6577027.6800000006</v>
      </c>
      <c r="E50" s="129">
        <f t="shared" ref="E50:F50" si="28">SUM(E51:E54)</f>
        <v>9015712.0800000001</v>
      </c>
      <c r="F50" s="129">
        <f t="shared" si="28"/>
        <v>4050116.02</v>
      </c>
      <c r="G50" s="130">
        <f>D50+E50-F50</f>
        <v>11542623.740000002</v>
      </c>
      <c r="H50" s="108"/>
      <c r="I50" s="3"/>
      <c r="J50" s="129">
        <f>SUM(J51:J54)</f>
        <v>12309185.869999999</v>
      </c>
      <c r="K50" s="129">
        <f t="shared" ref="K50:L50" si="29">SUM(K51:K54)</f>
        <v>21896290.440000001</v>
      </c>
      <c r="L50" s="129">
        <f t="shared" si="29"/>
        <v>28305000</v>
      </c>
      <c r="M50" s="130">
        <f>J50+K50-L50</f>
        <v>5900476.3100000024</v>
      </c>
      <c r="N50" s="3"/>
      <c r="O50" s="3"/>
      <c r="P50" s="129">
        <f>SUM(P51:P54)</f>
        <v>8049000</v>
      </c>
      <c r="Q50" s="129">
        <f t="shared" ref="Q50:R50" si="30">SUM(Q51:Q54)</f>
        <v>8342000</v>
      </c>
      <c r="R50" s="129">
        <f t="shared" si="30"/>
        <v>4814900</v>
      </c>
      <c r="S50" s="130">
        <f>P50+Q50-R50</f>
        <v>11576100</v>
      </c>
      <c r="T50" s="3"/>
      <c r="U50" s="3"/>
      <c r="V50" s="129">
        <f>SUM(V51:V54)</f>
        <v>5900476.3100000005</v>
      </c>
      <c r="W50" s="129">
        <f t="shared" ref="W50:X50" si="31">SUM(W51:W54)</f>
        <v>22174613.960000001</v>
      </c>
      <c r="X50" s="129">
        <f t="shared" si="31"/>
        <v>22286270</v>
      </c>
      <c r="Y50" s="130">
        <f>V50+W50-X50</f>
        <v>5788820.2700000033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f>+'[1]Vyhodnocení hospodaření PO'!D51</f>
        <v>198936.75</v>
      </c>
      <c r="E51" s="129">
        <f>+'[1]Vyhodnocení hospodaření PO'!E51</f>
        <v>0</v>
      </c>
      <c r="F51" s="129">
        <f>+'[1]Vyhodnocení hospodaření PO'!F51</f>
        <v>0</v>
      </c>
      <c r="G51" s="130">
        <f t="shared" ref="G51:G54" si="32">D51+E51-F51</f>
        <v>198936.75</v>
      </c>
      <c r="H51" s="108"/>
      <c r="I51" s="3"/>
      <c r="J51" s="129">
        <v>198936.75</v>
      </c>
      <c r="K51" s="129">
        <v>0</v>
      </c>
      <c r="L51" s="129">
        <v>0</v>
      </c>
      <c r="M51" s="130">
        <v>198936.75</v>
      </c>
      <c r="N51" s="3"/>
      <c r="O51" s="3"/>
      <c r="P51" s="131">
        <f>+'[3]Vyhodnocení hosp. 1.pol. 2022'!D51*1000</f>
        <v>199000</v>
      </c>
      <c r="Q51" s="131">
        <f>+'[3]Vyhodnocení hosp. 1.pol. 2022'!E51*1000</f>
        <v>0</v>
      </c>
      <c r="R51" s="131">
        <f>+'[3]Vyhodnocení hosp. 1.pol. 2022'!F51*1000</f>
        <v>0</v>
      </c>
      <c r="S51" s="132">
        <f>+'[3]Vyhodnocení hosp. 1.pol. 2022'!G51*1000</f>
        <v>199000</v>
      </c>
      <c r="T51" s="3"/>
      <c r="U51" s="3"/>
      <c r="V51" s="129">
        <f>+M51</f>
        <v>198936.75</v>
      </c>
      <c r="W51" s="129">
        <v>0</v>
      </c>
      <c r="X51" s="129">
        <v>0</v>
      </c>
      <c r="Y51" s="130">
        <f t="shared" ref="Y51:Y54" si="33">V51+W51-X51</f>
        <v>198936.75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f>+'[1]Vyhodnocení hospodaření PO'!D52</f>
        <v>6164029.6900000004</v>
      </c>
      <c r="E52" s="129">
        <f>+'[1]Vyhodnocení hospodaření PO'!E52</f>
        <v>8477234.1999999993</v>
      </c>
      <c r="F52" s="129">
        <f>+'[1]Vyhodnocení hospodaření PO'!F52</f>
        <v>3407826.02</v>
      </c>
      <c r="G52" s="130">
        <f t="shared" si="32"/>
        <v>11233437.870000001</v>
      </c>
      <c r="H52" s="108"/>
      <c r="I52" s="3"/>
      <c r="J52" s="129">
        <v>12000000</v>
      </c>
      <c r="K52" s="129">
        <v>20616407</v>
      </c>
      <c r="L52" s="129">
        <v>27105000</v>
      </c>
      <c r="M52" s="130">
        <f>+J52+K52-L52</f>
        <v>5511407</v>
      </c>
      <c r="N52" s="3"/>
      <c r="O52" s="3"/>
      <c r="P52" s="131">
        <f>+'[3]Vyhodnocení hosp. 1.pol. 2022'!D52*1000</f>
        <v>7727600</v>
      </c>
      <c r="Q52" s="131">
        <f>+'[3]Vyhodnocení hosp. 1.pol. 2022'!E52*1000</f>
        <v>7780400</v>
      </c>
      <c r="R52" s="131">
        <f>+'[3]Vyhodnocení hosp. 1.pol. 2022'!F52*1000</f>
        <v>4214200</v>
      </c>
      <c r="S52" s="132">
        <f>+'[3]Vyhodnocení hosp. 1.pol. 2022'!G52*1000</f>
        <v>11293800</v>
      </c>
      <c r="T52" s="3"/>
      <c r="U52" s="3"/>
      <c r="V52" s="129">
        <f>+M52</f>
        <v>5511407</v>
      </c>
      <c r="W52" s="129">
        <f>+AA37</f>
        <v>20766407</v>
      </c>
      <c r="X52" s="129">
        <v>20886270</v>
      </c>
      <c r="Y52" s="130">
        <f t="shared" si="33"/>
        <v>5391544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f>+'[1]Vyhodnocení hospodaření PO'!D53</f>
        <v>0</v>
      </c>
      <c r="E53" s="129">
        <f>+'[1]Vyhodnocení hospodaření PO'!E53</f>
        <v>0</v>
      </c>
      <c r="F53" s="129">
        <f>+'[1]Vyhodnocení hospodaření PO'!F53</f>
        <v>0</v>
      </c>
      <c r="G53" s="130">
        <f t="shared" si="32"/>
        <v>0</v>
      </c>
      <c r="H53" s="108"/>
      <c r="I53" s="3"/>
      <c r="J53" s="129">
        <v>0</v>
      </c>
      <c r="K53" s="129">
        <v>0</v>
      </c>
      <c r="L53" s="129">
        <v>0</v>
      </c>
      <c r="M53" s="130">
        <v>0</v>
      </c>
      <c r="N53" s="3"/>
      <c r="O53" s="3"/>
      <c r="P53" s="131">
        <f>+'[3]Vyhodnocení hosp. 1.pol. 2022'!D53*1000</f>
        <v>0</v>
      </c>
      <c r="Q53" s="131">
        <f>+'[3]Vyhodnocení hosp. 1.pol. 2022'!E53*1000</f>
        <v>0</v>
      </c>
      <c r="R53" s="131">
        <f>+'[3]Vyhodnocení hosp. 1.pol. 2022'!F53*1000</f>
        <v>0</v>
      </c>
      <c r="S53" s="132">
        <f>+'[3]Vyhodnocení hosp. 1.pol. 2022'!G53*1000</f>
        <v>0</v>
      </c>
      <c r="T53" s="3"/>
      <c r="U53" s="3"/>
      <c r="V53" s="129">
        <f>+M53</f>
        <v>0</v>
      </c>
      <c r="W53" s="129">
        <v>0</v>
      </c>
      <c r="X53" s="129">
        <v>0</v>
      </c>
      <c r="Y53" s="130">
        <f t="shared" si="33"/>
        <v>0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3" t="s">
        <v>97</v>
      </c>
      <c r="D54" s="129">
        <f>+'[1]Vyhodnocení hospodaření PO'!D54</f>
        <v>214061.24</v>
      </c>
      <c r="E54" s="129">
        <f>+'[1]Vyhodnocení hospodaření PO'!E54</f>
        <v>538477.88</v>
      </c>
      <c r="F54" s="129">
        <f>+'[1]Vyhodnocení hospodaření PO'!F54</f>
        <v>642290</v>
      </c>
      <c r="G54" s="130">
        <f t="shared" si="32"/>
        <v>110249.12</v>
      </c>
      <c r="H54" s="108"/>
      <c r="I54" s="3"/>
      <c r="J54" s="129">
        <v>110249.12</v>
      </c>
      <c r="K54" s="129">
        <v>1279883.44</v>
      </c>
      <c r="L54" s="129">
        <v>1200000</v>
      </c>
      <c r="M54" s="130">
        <v>190132.56000000006</v>
      </c>
      <c r="N54" s="3"/>
      <c r="O54" s="3"/>
      <c r="P54" s="131">
        <f>+'[3]Vyhodnocení hosp. 1.pol. 2022'!D54*1000</f>
        <v>122400</v>
      </c>
      <c r="Q54" s="131">
        <f>+'[3]Vyhodnocení hosp. 1.pol. 2022'!E54*1000</f>
        <v>561600</v>
      </c>
      <c r="R54" s="131">
        <f>+'[3]Vyhodnocení hosp. 1.pol. 2022'!F54*1000</f>
        <v>600700</v>
      </c>
      <c r="S54" s="132">
        <f>+'[3]Vyhodnocení hosp. 1.pol. 2022'!G54*1000</f>
        <v>83299.999999999956</v>
      </c>
      <c r="T54" s="3"/>
      <c r="U54" s="3"/>
      <c r="V54" s="129">
        <f>+M54</f>
        <v>190132.56000000006</v>
      </c>
      <c r="W54" s="129">
        <f>+AA32*0.02</f>
        <v>1408206.96</v>
      </c>
      <c r="X54" s="129">
        <v>1400000</v>
      </c>
      <c r="Y54" s="130">
        <f t="shared" si="33"/>
        <v>198339.52000000002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4">
        <v>175</v>
      </c>
      <c r="E57" s="134">
        <v>176</v>
      </c>
      <c r="F57" s="108"/>
      <c r="G57" s="108"/>
      <c r="H57" s="108"/>
      <c r="I57" s="115"/>
      <c r="J57" s="134">
        <f>+'[4]NR 2022'!$V$57</f>
        <v>179</v>
      </c>
      <c r="K57" s="108"/>
      <c r="L57" s="108"/>
      <c r="M57" s="108"/>
      <c r="N57" s="108"/>
      <c r="O57" s="115"/>
      <c r="P57" s="134">
        <v>184</v>
      </c>
      <c r="Q57" s="115"/>
      <c r="R57" s="115"/>
      <c r="S57" s="115"/>
      <c r="T57" s="115"/>
      <c r="U57" s="115"/>
      <c r="V57" s="134">
        <v>185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5" t="s">
        <v>103</v>
      </c>
      <c r="C59" s="136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  <c r="O59" s="931"/>
      <c r="P59" s="931"/>
      <c r="Q59" s="931"/>
      <c r="R59" s="931"/>
      <c r="S59" s="931"/>
      <c r="T59" s="931"/>
      <c r="U59" s="931"/>
      <c r="V59" s="137"/>
      <c r="W59" s="137"/>
      <c r="X59" s="137"/>
      <c r="Y59" s="137"/>
      <c r="Z59" s="137"/>
      <c r="AA59" s="137"/>
      <c r="AB59" s="138"/>
      <c r="AC59" s="3"/>
      <c r="AD59" s="3"/>
    </row>
    <row r="60" spans="1:30" x14ac:dyDescent="0.25">
      <c r="A60" s="1"/>
      <c r="B60" s="139" t="s">
        <v>104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0"/>
      <c r="AC60" s="3"/>
      <c r="AD60" s="3"/>
    </row>
    <row r="61" spans="1:30" x14ac:dyDescent="0.25">
      <c r="A61" s="1"/>
      <c r="B61" s="925" t="s">
        <v>105</v>
      </c>
      <c r="C61" s="921"/>
      <c r="D61" s="921"/>
      <c r="E61" s="921"/>
      <c r="F61" s="921"/>
      <c r="G61" s="921"/>
      <c r="H61" s="921"/>
      <c r="I61" s="921"/>
      <c r="J61" s="921"/>
      <c r="K61" s="921"/>
      <c r="L61" s="921"/>
      <c r="M61" s="921"/>
      <c r="N61" s="921"/>
      <c r="O61" s="921"/>
      <c r="P61" s="921"/>
      <c r="Q61" s="921"/>
      <c r="R61" s="921"/>
      <c r="S61" s="921"/>
      <c r="T61" s="921"/>
      <c r="U61" s="921"/>
      <c r="V61" s="110"/>
      <c r="W61" s="110"/>
      <c r="X61" s="110"/>
      <c r="Y61" s="110"/>
      <c r="Z61" s="110"/>
      <c r="AA61" s="110"/>
      <c r="AB61" s="140"/>
      <c r="AC61" s="3"/>
      <c r="AD61" s="3"/>
    </row>
    <row r="62" spans="1:30" x14ac:dyDescent="0.25">
      <c r="A62" s="1"/>
      <c r="B62" s="925" t="s">
        <v>106</v>
      </c>
      <c r="C62" s="921"/>
      <c r="D62" s="921"/>
      <c r="E62" s="921"/>
      <c r="F62" s="921"/>
      <c r="G62" s="921"/>
      <c r="H62" s="921"/>
      <c r="I62" s="921"/>
      <c r="J62" s="921"/>
      <c r="K62" s="921"/>
      <c r="L62" s="921"/>
      <c r="M62" s="921"/>
      <c r="N62" s="921"/>
      <c r="O62" s="921"/>
      <c r="P62" s="921"/>
      <c r="Q62" s="921"/>
      <c r="R62" s="921"/>
      <c r="S62" s="921"/>
      <c r="T62" s="921"/>
      <c r="U62" s="921"/>
      <c r="V62" s="110"/>
      <c r="W62" s="110"/>
      <c r="X62" s="110"/>
      <c r="Y62" s="110"/>
      <c r="Z62" s="110"/>
      <c r="AA62" s="110"/>
      <c r="AB62" s="140"/>
      <c r="AC62" s="3"/>
      <c r="AD62" s="3"/>
    </row>
    <row r="63" spans="1:30" x14ac:dyDescent="0.25">
      <c r="A63" s="1"/>
      <c r="B63" s="925" t="s">
        <v>107</v>
      </c>
      <c r="C63" s="921"/>
      <c r="D63" s="921"/>
      <c r="E63" s="921"/>
      <c r="F63" s="921"/>
      <c r="G63" s="921"/>
      <c r="H63" s="921"/>
      <c r="I63" s="921"/>
      <c r="J63" s="921"/>
      <c r="K63" s="921"/>
      <c r="L63" s="921"/>
      <c r="M63" s="921"/>
      <c r="N63" s="921"/>
      <c r="O63" s="921"/>
      <c r="P63" s="921"/>
      <c r="Q63" s="921"/>
      <c r="R63" s="921"/>
      <c r="S63" s="921"/>
      <c r="T63" s="921"/>
      <c r="U63" s="921"/>
      <c r="V63" s="110"/>
      <c r="W63" s="110"/>
      <c r="X63" s="110"/>
      <c r="Y63" s="110"/>
      <c r="Z63" s="110"/>
      <c r="AA63" s="110"/>
      <c r="AB63" s="140"/>
      <c r="AC63" s="3"/>
      <c r="AD63" s="3"/>
    </row>
    <row r="64" spans="1:30" x14ac:dyDescent="0.25">
      <c r="A64" s="1"/>
      <c r="B64" s="141" t="s">
        <v>108</v>
      </c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10"/>
      <c r="W64" s="110"/>
      <c r="X64" s="110"/>
      <c r="Y64" s="110"/>
      <c r="Z64" s="110"/>
      <c r="AA64" s="110"/>
      <c r="AB64" s="140"/>
      <c r="AC64" s="3"/>
      <c r="AD64" s="3"/>
    </row>
    <row r="65" spans="1:30" x14ac:dyDescent="0.25">
      <c r="A65" s="1"/>
      <c r="B65" s="143"/>
      <c r="C65" s="144"/>
      <c r="D65" s="145"/>
      <c r="E65" s="145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10"/>
      <c r="W65" s="110"/>
      <c r="X65" s="110"/>
      <c r="Y65" s="110"/>
      <c r="Z65" s="110"/>
      <c r="AA65" s="110"/>
      <c r="AB65" s="140"/>
      <c r="AC65" s="3"/>
      <c r="AD65" s="3"/>
    </row>
    <row r="66" spans="1:30" x14ac:dyDescent="0.25">
      <c r="A66" s="1"/>
      <c r="B66" s="146"/>
      <c r="C66" s="147"/>
      <c r="D66" s="148"/>
      <c r="E66" s="148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50"/>
      <c r="W66" s="150"/>
      <c r="X66" s="150"/>
      <c r="Y66" s="150"/>
      <c r="Z66" s="150"/>
      <c r="AA66" s="150"/>
      <c r="AB66" s="151"/>
      <c r="AC66" s="3"/>
      <c r="AD66" s="3"/>
    </row>
    <row r="67" spans="1:30" x14ac:dyDescent="0.25">
      <c r="A67" s="104"/>
      <c r="B67" s="152"/>
      <c r="C67" s="153"/>
      <c r="D67" s="152"/>
      <c r="E67" s="152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5">
      <c r="A68" s="104"/>
      <c r="B68" s="152"/>
      <c r="C68" s="153"/>
      <c r="D68" s="152"/>
      <c r="E68" s="152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A69" s="1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5">
      <c r="A70" s="1"/>
      <c r="B70" s="155" t="s">
        <v>109</v>
      </c>
      <c r="C70" s="156">
        <v>44824</v>
      </c>
      <c r="D70" s="155" t="s">
        <v>110</v>
      </c>
      <c r="E70" s="921" t="s">
        <v>111</v>
      </c>
      <c r="F70" s="921"/>
      <c r="G70" s="921"/>
      <c r="H70" s="155"/>
      <c r="I70" s="155" t="s">
        <v>112</v>
      </c>
      <c r="J70" s="922" t="s">
        <v>113</v>
      </c>
      <c r="K70" s="922"/>
      <c r="L70" s="922"/>
      <c r="M70" s="922"/>
      <c r="N70" s="155"/>
      <c r="O70" s="155"/>
      <c r="P70" s="155"/>
      <c r="Q70" s="155"/>
      <c r="R70" s="155"/>
      <c r="S70" s="155"/>
      <c r="T70" s="155"/>
      <c r="U70" s="155"/>
      <c r="V70" s="3"/>
      <c r="W70" s="3"/>
      <c r="X70" s="3"/>
      <c r="Y70" s="3"/>
      <c r="Z70" s="3"/>
      <c r="AA70" s="3"/>
      <c r="AB70" s="3"/>
      <c r="AC70" s="3"/>
      <c r="AD70" s="3"/>
    </row>
    <row r="71" spans="1:30" ht="7.5" customHeight="1" x14ac:dyDescent="0.25">
      <c r="A71" s="1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25">
      <c r="A72" s="1"/>
      <c r="B72" s="155"/>
      <c r="C72" s="155"/>
      <c r="D72" s="155" t="s">
        <v>114</v>
      </c>
      <c r="E72" s="157"/>
      <c r="F72" s="157"/>
      <c r="G72" s="157"/>
      <c r="H72" s="155"/>
      <c r="I72" s="155" t="s">
        <v>114</v>
      </c>
      <c r="J72" s="158"/>
      <c r="K72" s="158"/>
      <c r="L72" s="158"/>
      <c r="M72" s="158"/>
      <c r="N72" s="155"/>
      <c r="O72" s="155"/>
      <c r="P72" s="155"/>
      <c r="Q72" s="155"/>
      <c r="R72" s="155"/>
      <c r="S72" s="155"/>
      <c r="T72" s="155"/>
      <c r="U72" s="155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25">
      <c r="A73" s="1"/>
      <c r="B73" s="155"/>
      <c r="C73" s="155"/>
      <c r="D73" s="155"/>
      <c r="E73" s="157"/>
      <c r="F73" s="157"/>
      <c r="G73" s="157"/>
      <c r="H73" s="155"/>
      <c r="I73" s="155"/>
      <c r="J73" s="158"/>
      <c r="K73" s="158"/>
      <c r="L73" s="158"/>
      <c r="M73" s="158"/>
      <c r="N73" s="155"/>
      <c r="O73" s="155"/>
      <c r="P73" s="155"/>
      <c r="Q73" s="155"/>
      <c r="R73" s="155"/>
      <c r="S73" s="155"/>
      <c r="T73" s="155"/>
      <c r="U73" s="155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5">
      <c r="A74" s="1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5">
      <c r="A75" s="1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3"/>
      <c r="W75" s="3"/>
      <c r="X75" s="3"/>
      <c r="Y75" s="3"/>
      <c r="Z75" s="3"/>
      <c r="AA75" s="3"/>
      <c r="AB75" s="3"/>
      <c r="AC75" s="3"/>
      <c r="AD75" s="3"/>
    </row>
    <row r="76" spans="1:30" hidden="1" x14ac:dyDescent="0.25">
      <c r="AC76" s="4"/>
      <c r="AD76" s="4"/>
    </row>
    <row r="78" spans="1:30" x14ac:dyDescent="0.25"/>
    <row r="79" spans="1:30" x14ac:dyDescent="0.25"/>
    <row r="80" spans="1:3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ht="15" hidden="1" customHeight="1" x14ac:dyDescent="0.25"/>
    <row r="93" x14ac:dyDescent="0.25"/>
    <row r="94" x14ac:dyDescent="0.25"/>
    <row r="95" x14ac:dyDescent="0.25"/>
    <row r="96" x14ac:dyDescent="0.25"/>
    <row r="97" x14ac:dyDescent="0.25"/>
    <row r="106" ht="15" hidden="1" customHeight="1" x14ac:dyDescent="0.25"/>
    <row r="107" ht="15" hidden="1" customHeight="1" x14ac:dyDescent="0.25"/>
    <row r="113" x14ac:dyDescent="0.25"/>
    <row r="127" x14ac:dyDescent="0.25"/>
    <row r="128" x14ac:dyDescent="0.25"/>
  </sheetData>
  <mergeCells count="64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B62:U62"/>
    <mergeCell ref="B63:U63"/>
    <mergeCell ref="E70:G70"/>
    <mergeCell ref="J70:M70"/>
    <mergeCell ref="Z26:Z27"/>
    <mergeCell ref="I26:I27"/>
  </mergeCells>
  <conditionalFormatting sqref="AB15:AB25">
    <cfRule type="cellIs" dxfId="59" priority="3" operator="equal">
      <formula>0</formula>
    </cfRule>
    <cfRule type="containsErrors" dxfId="58" priority="4">
      <formula>ISERROR(AB15)</formula>
    </cfRule>
  </conditionalFormatting>
  <conditionalFormatting sqref="AB28:AB41">
    <cfRule type="cellIs" dxfId="57" priority="1" operator="equal">
      <formula>0</formula>
    </cfRule>
    <cfRule type="containsErrors" dxfId="56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23"/>
  <sheetViews>
    <sheetView showGridLines="0" view="pageBreakPreview" zoomScale="80" zoomScaleNormal="80" zoomScaleSheetLayoutView="80" workbookViewId="0">
      <selection activeCell="I70" sqref="I7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343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7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3"/>
      <c r="B2" s="478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7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7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3"/>
      <c r="B4" s="3" t="s">
        <v>1</v>
      </c>
      <c r="C4" s="3"/>
      <c r="D4" s="871" t="s">
        <v>154</v>
      </c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7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3"/>
      <c r="B6" s="3" t="s">
        <v>3</v>
      </c>
      <c r="C6" s="3"/>
      <c r="D6" s="479" t="s">
        <v>155</v>
      </c>
      <c r="E6" s="3"/>
      <c r="F6" s="3"/>
      <c r="G6" s="3"/>
      <c r="H6" s="3"/>
      <c r="I6" s="3"/>
      <c r="J6" s="3"/>
      <c r="K6" s="3"/>
      <c r="L6" s="3"/>
      <c r="M6" s="47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3"/>
      <c r="B7" s="3"/>
      <c r="C7" s="3"/>
      <c r="D7" s="477"/>
      <c r="E7" s="3"/>
      <c r="F7" s="3"/>
      <c r="G7" s="3"/>
      <c r="H7" s="3"/>
      <c r="I7" s="3"/>
      <c r="J7" s="3"/>
      <c r="K7" s="3"/>
      <c r="L7" s="3"/>
      <c r="M7" s="47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3"/>
      <c r="B8" s="3" t="s">
        <v>4</v>
      </c>
      <c r="C8" s="3"/>
      <c r="D8" s="868" t="s">
        <v>156</v>
      </c>
      <c r="E8" s="868"/>
      <c r="F8" s="868"/>
      <c r="G8" s="868"/>
      <c r="H8" s="868"/>
      <c r="I8" s="868"/>
      <c r="J8" s="868"/>
      <c r="K8" s="868"/>
      <c r="L8" s="868"/>
      <c r="M8" s="868"/>
      <c r="N8" s="868"/>
      <c r="O8" s="868"/>
      <c r="P8" s="868"/>
      <c r="Q8" s="868"/>
      <c r="R8" s="868"/>
      <c r="S8" s="868"/>
      <c r="T8" s="868"/>
      <c r="U8" s="868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7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3"/>
      <c r="B10" s="879" t="s">
        <v>6</v>
      </c>
      <c r="C10" s="864" t="s">
        <v>7</v>
      </c>
      <c r="D10" s="831" t="s">
        <v>8</v>
      </c>
      <c r="E10" s="832"/>
      <c r="F10" s="832"/>
      <c r="G10" s="832"/>
      <c r="H10" s="832"/>
      <c r="I10" s="833"/>
      <c r="J10" s="831" t="s">
        <v>9</v>
      </c>
      <c r="K10" s="832"/>
      <c r="L10" s="832"/>
      <c r="M10" s="832"/>
      <c r="N10" s="832"/>
      <c r="O10" s="833"/>
      <c r="P10" s="831" t="s">
        <v>10</v>
      </c>
      <c r="Q10" s="832"/>
      <c r="R10" s="832"/>
      <c r="S10" s="832"/>
      <c r="T10" s="832"/>
      <c r="U10" s="833"/>
      <c r="V10" s="831" t="s">
        <v>11</v>
      </c>
      <c r="W10" s="832"/>
      <c r="X10" s="832"/>
      <c r="Y10" s="832"/>
      <c r="Z10" s="832"/>
      <c r="AA10" s="833"/>
      <c r="AB10" s="849" t="s">
        <v>12</v>
      </c>
      <c r="AC10" s="3"/>
      <c r="AD10" s="3"/>
    </row>
    <row r="11" spans="1:30" ht="30.75" customHeight="1" thickBot="1" x14ac:dyDescent="0.3">
      <c r="A11" s="3"/>
      <c r="B11" s="880"/>
      <c r="C11" s="865"/>
      <c r="D11" s="852" t="s">
        <v>13</v>
      </c>
      <c r="E11" s="853"/>
      <c r="F11" s="853"/>
      <c r="G11" s="854"/>
      <c r="H11" s="475" t="s">
        <v>14</v>
      </c>
      <c r="I11" s="475" t="s">
        <v>15</v>
      </c>
      <c r="J11" s="852" t="s">
        <v>13</v>
      </c>
      <c r="K11" s="853"/>
      <c r="L11" s="853"/>
      <c r="M11" s="854"/>
      <c r="N11" s="475" t="s">
        <v>14</v>
      </c>
      <c r="O11" s="475" t="s">
        <v>15</v>
      </c>
      <c r="P11" s="852" t="s">
        <v>13</v>
      </c>
      <c r="Q11" s="853"/>
      <c r="R11" s="853"/>
      <c r="S11" s="854"/>
      <c r="T11" s="475" t="s">
        <v>14</v>
      </c>
      <c r="U11" s="475" t="s">
        <v>15</v>
      </c>
      <c r="V11" s="852" t="s">
        <v>13</v>
      </c>
      <c r="W11" s="853"/>
      <c r="X11" s="853"/>
      <c r="Y11" s="854"/>
      <c r="Z11" s="475" t="s">
        <v>14</v>
      </c>
      <c r="AA11" s="475" t="s">
        <v>15</v>
      </c>
      <c r="AB11" s="850"/>
      <c r="AC11" s="3"/>
      <c r="AD11" s="3"/>
    </row>
    <row r="12" spans="1:30" ht="15.75" customHeight="1" thickBot="1" x14ac:dyDescent="0.3">
      <c r="A12" s="3"/>
      <c r="B12" s="880"/>
      <c r="C12" s="866"/>
      <c r="D12" s="855" t="s">
        <v>16</v>
      </c>
      <c r="E12" s="856"/>
      <c r="F12" s="856"/>
      <c r="G12" s="856"/>
      <c r="H12" s="856"/>
      <c r="I12" s="857"/>
      <c r="J12" s="855" t="s">
        <v>16</v>
      </c>
      <c r="K12" s="856"/>
      <c r="L12" s="856"/>
      <c r="M12" s="856"/>
      <c r="N12" s="856"/>
      <c r="O12" s="857"/>
      <c r="P12" s="855" t="s">
        <v>16</v>
      </c>
      <c r="Q12" s="856"/>
      <c r="R12" s="856"/>
      <c r="S12" s="856"/>
      <c r="T12" s="856"/>
      <c r="U12" s="857"/>
      <c r="V12" s="855" t="s">
        <v>16</v>
      </c>
      <c r="W12" s="856"/>
      <c r="X12" s="856"/>
      <c r="Y12" s="856"/>
      <c r="Z12" s="856"/>
      <c r="AA12" s="857"/>
      <c r="AB12" s="850"/>
      <c r="AC12" s="3"/>
      <c r="AD12" s="3"/>
    </row>
    <row r="13" spans="1:30" ht="15.75" customHeight="1" thickBot="1" x14ac:dyDescent="0.3">
      <c r="A13" s="3"/>
      <c r="B13" s="881"/>
      <c r="C13" s="867"/>
      <c r="D13" s="858" t="s">
        <v>17</v>
      </c>
      <c r="E13" s="859"/>
      <c r="F13" s="859"/>
      <c r="G13" s="838" t="s">
        <v>18</v>
      </c>
      <c r="H13" s="840" t="s">
        <v>19</v>
      </c>
      <c r="I13" s="860" t="s">
        <v>16</v>
      </c>
      <c r="J13" s="858" t="s">
        <v>17</v>
      </c>
      <c r="K13" s="859"/>
      <c r="L13" s="859"/>
      <c r="M13" s="838" t="s">
        <v>18</v>
      </c>
      <c r="N13" s="840" t="s">
        <v>19</v>
      </c>
      <c r="O13" s="860" t="s">
        <v>16</v>
      </c>
      <c r="P13" s="858" t="s">
        <v>17</v>
      </c>
      <c r="Q13" s="859"/>
      <c r="R13" s="859"/>
      <c r="S13" s="838" t="s">
        <v>18</v>
      </c>
      <c r="T13" s="840" t="s">
        <v>19</v>
      </c>
      <c r="U13" s="860" t="s">
        <v>16</v>
      </c>
      <c r="V13" s="858" t="s">
        <v>17</v>
      </c>
      <c r="W13" s="859"/>
      <c r="X13" s="859"/>
      <c r="Y13" s="838" t="s">
        <v>18</v>
      </c>
      <c r="Z13" s="840" t="s">
        <v>19</v>
      </c>
      <c r="AA13" s="860" t="s">
        <v>16</v>
      </c>
      <c r="AB13" s="850"/>
      <c r="AC13" s="3"/>
      <c r="AD13" s="3"/>
    </row>
    <row r="14" spans="1:30" ht="15.75" thickBot="1" x14ac:dyDescent="0.3">
      <c r="A14" s="3"/>
      <c r="B14" s="474"/>
      <c r="C14" s="473"/>
      <c r="D14" s="472" t="s">
        <v>20</v>
      </c>
      <c r="E14" s="471" t="s">
        <v>21</v>
      </c>
      <c r="F14" s="471" t="s">
        <v>22</v>
      </c>
      <c r="G14" s="839"/>
      <c r="H14" s="841"/>
      <c r="I14" s="861"/>
      <c r="J14" s="472" t="s">
        <v>20</v>
      </c>
      <c r="K14" s="471" t="s">
        <v>21</v>
      </c>
      <c r="L14" s="471" t="s">
        <v>22</v>
      </c>
      <c r="M14" s="839"/>
      <c r="N14" s="841"/>
      <c r="O14" s="861"/>
      <c r="P14" s="472" t="s">
        <v>20</v>
      </c>
      <c r="Q14" s="471" t="s">
        <v>21</v>
      </c>
      <c r="R14" s="471" t="s">
        <v>22</v>
      </c>
      <c r="S14" s="839"/>
      <c r="T14" s="841"/>
      <c r="U14" s="861"/>
      <c r="V14" s="472" t="s">
        <v>20</v>
      </c>
      <c r="W14" s="471" t="s">
        <v>21</v>
      </c>
      <c r="X14" s="471" t="s">
        <v>22</v>
      </c>
      <c r="Y14" s="839"/>
      <c r="Z14" s="841"/>
      <c r="AA14" s="861"/>
      <c r="AB14" s="851"/>
      <c r="AC14" s="3"/>
      <c r="AD14" s="3"/>
    </row>
    <row r="15" spans="1:30" x14ac:dyDescent="0.25">
      <c r="A15" s="3"/>
      <c r="B15" s="433" t="s">
        <v>23</v>
      </c>
      <c r="C15" s="432" t="s">
        <v>24</v>
      </c>
      <c r="D15" s="470"/>
      <c r="E15" s="469"/>
      <c r="F15" s="468">
        <v>25625.5</v>
      </c>
      <c r="G15" s="467">
        <f>SUM(D15:F15)</f>
        <v>25625.5</v>
      </c>
      <c r="H15" s="457">
        <v>7317</v>
      </c>
      <c r="I15" s="420">
        <f>G15+H15</f>
        <v>32942.5</v>
      </c>
      <c r="J15" s="470"/>
      <c r="K15" s="469"/>
      <c r="L15" s="468">
        <v>30100</v>
      </c>
      <c r="M15" s="467">
        <f t="shared" ref="M15:M23" si="0">SUM(J15:L15)</f>
        <v>30100</v>
      </c>
      <c r="N15" s="457">
        <v>5050</v>
      </c>
      <c r="O15" s="420">
        <f>M15+N15</f>
        <v>35150</v>
      </c>
      <c r="P15" s="470"/>
      <c r="Q15" s="469"/>
      <c r="R15" s="468">
        <v>11307.4</v>
      </c>
      <c r="S15" s="467">
        <f>SUM(P15:R15)</f>
        <v>11307.4</v>
      </c>
      <c r="T15" s="457">
        <v>3702.5</v>
      </c>
      <c r="U15" s="420">
        <f>S15+T15</f>
        <v>15009.9</v>
      </c>
      <c r="V15" s="470"/>
      <c r="W15" s="469"/>
      <c r="X15" s="468">
        <v>30200</v>
      </c>
      <c r="Y15" s="467">
        <f>SUM(V15:X15)</f>
        <v>30200</v>
      </c>
      <c r="Z15" s="457">
        <v>7200</v>
      </c>
      <c r="AA15" s="420">
        <f>Y15+Z15</f>
        <v>37400</v>
      </c>
      <c r="AB15" s="389">
        <f>(AA15/O15)</f>
        <v>1.0640113798008535</v>
      </c>
      <c r="AC15" s="3"/>
      <c r="AD15" s="3"/>
    </row>
    <row r="16" spans="1:30" x14ac:dyDescent="0.25">
      <c r="A16" s="3"/>
      <c r="B16" s="418" t="s">
        <v>25</v>
      </c>
      <c r="C16" s="466" t="s">
        <v>26</v>
      </c>
      <c r="D16" s="465">
        <v>45080</v>
      </c>
      <c r="E16" s="455"/>
      <c r="F16" s="455"/>
      <c r="G16" s="450">
        <f t="shared" ref="G16:G23" si="1">SUM(D16:F16)</f>
        <v>45080</v>
      </c>
      <c r="H16" s="464"/>
      <c r="I16" s="420">
        <f t="shared" ref="I16:I23" si="2">G16+H16</f>
        <v>45080</v>
      </c>
      <c r="J16" s="465">
        <v>47032.3</v>
      </c>
      <c r="K16" s="455"/>
      <c r="L16" s="455"/>
      <c r="M16" s="450">
        <f t="shared" si="0"/>
        <v>47032.3</v>
      </c>
      <c r="N16" s="464"/>
      <c r="O16" s="420">
        <f t="shared" ref="O16:O20" si="3">M16+N16</f>
        <v>47032.3</v>
      </c>
      <c r="P16" s="465">
        <v>23516.2</v>
      </c>
      <c r="Q16" s="455"/>
      <c r="R16" s="455"/>
      <c r="S16" s="450">
        <f t="shared" ref="S16:S23" si="4">SUM(P16:R16)</f>
        <v>23516.2</v>
      </c>
      <c r="T16" s="464"/>
      <c r="U16" s="420">
        <f t="shared" ref="U16:U20" si="5">S16+T16</f>
        <v>23516.2</v>
      </c>
      <c r="V16" s="465">
        <v>51600</v>
      </c>
      <c r="W16" s="455"/>
      <c r="X16" s="455"/>
      <c r="Y16" s="450">
        <f t="shared" ref="Y16:Y23" si="6">SUM(V16:X16)</f>
        <v>51600</v>
      </c>
      <c r="Z16" s="464"/>
      <c r="AA16" s="420">
        <f t="shared" ref="AA16:AA20" si="7">Y16+Z16</f>
        <v>51600</v>
      </c>
      <c r="AB16" s="389">
        <f t="shared" ref="AB16:AB24" si="8">(AA16/O16)</f>
        <v>1.0971183633375361</v>
      </c>
      <c r="AC16" s="3"/>
      <c r="AD16" s="3"/>
    </row>
    <row r="17" spans="1:30" x14ac:dyDescent="0.25">
      <c r="A17" s="3"/>
      <c r="B17" s="418" t="s">
        <v>27</v>
      </c>
      <c r="C17" s="463" t="s">
        <v>28</v>
      </c>
      <c r="D17" s="29"/>
      <c r="E17" s="459"/>
      <c r="F17" s="459"/>
      <c r="G17" s="450">
        <f t="shared" si="1"/>
        <v>0</v>
      </c>
      <c r="H17" s="462"/>
      <c r="I17" s="420">
        <f t="shared" si="2"/>
        <v>0</v>
      </c>
      <c r="J17" s="29"/>
      <c r="K17" s="459"/>
      <c r="L17" s="459"/>
      <c r="M17" s="450">
        <f t="shared" si="0"/>
        <v>0</v>
      </c>
      <c r="N17" s="462"/>
      <c r="O17" s="420">
        <f t="shared" si="3"/>
        <v>0</v>
      </c>
      <c r="P17" s="29"/>
      <c r="Q17" s="459"/>
      <c r="R17" s="459"/>
      <c r="S17" s="450">
        <f t="shared" si="4"/>
        <v>0</v>
      </c>
      <c r="T17" s="462"/>
      <c r="U17" s="420">
        <f t="shared" si="5"/>
        <v>0</v>
      </c>
      <c r="V17" s="29"/>
      <c r="W17" s="459"/>
      <c r="X17" s="459"/>
      <c r="Y17" s="450">
        <f t="shared" si="6"/>
        <v>0</v>
      </c>
      <c r="Z17" s="462"/>
      <c r="AA17" s="420">
        <f t="shared" si="7"/>
        <v>0</v>
      </c>
      <c r="AB17" s="389" t="e">
        <f t="shared" si="8"/>
        <v>#DIV/0!</v>
      </c>
      <c r="AC17" s="3"/>
      <c r="AD17" s="3"/>
    </row>
    <row r="18" spans="1:30" x14ac:dyDescent="0.25">
      <c r="A18" s="3"/>
      <c r="B18" s="418" t="s">
        <v>29</v>
      </c>
      <c r="C18" s="461" t="s">
        <v>30</v>
      </c>
      <c r="D18" s="456"/>
      <c r="E18" s="37">
        <v>3142</v>
      </c>
      <c r="F18" s="459"/>
      <c r="G18" s="450">
        <v>3142</v>
      </c>
      <c r="H18" s="457"/>
      <c r="I18" s="420">
        <f t="shared" si="2"/>
        <v>3142</v>
      </c>
      <c r="J18" s="456"/>
      <c r="K18" s="37">
        <v>1400</v>
      </c>
      <c r="L18" s="459"/>
      <c r="M18" s="450">
        <f t="shared" si="0"/>
        <v>1400</v>
      </c>
      <c r="N18" s="457"/>
      <c r="O18" s="420">
        <f t="shared" si="3"/>
        <v>1400</v>
      </c>
      <c r="P18" s="456"/>
      <c r="Q18" s="37">
        <v>900.6</v>
      </c>
      <c r="R18" s="459"/>
      <c r="S18" s="450">
        <f t="shared" si="4"/>
        <v>900.6</v>
      </c>
      <c r="T18" s="457"/>
      <c r="U18" s="420">
        <f t="shared" si="5"/>
        <v>900.6</v>
      </c>
      <c r="V18" s="456"/>
      <c r="W18" s="37">
        <v>1100</v>
      </c>
      <c r="X18" s="459"/>
      <c r="Y18" s="450">
        <f t="shared" si="6"/>
        <v>1100</v>
      </c>
      <c r="Z18" s="457"/>
      <c r="AA18" s="420">
        <f t="shared" si="7"/>
        <v>1100</v>
      </c>
      <c r="AB18" s="389">
        <f t="shared" si="8"/>
        <v>0.7857142857142857</v>
      </c>
      <c r="AC18" s="3"/>
      <c r="AD18" s="3"/>
    </row>
    <row r="19" spans="1:30" x14ac:dyDescent="0.25">
      <c r="A19" s="3"/>
      <c r="B19" s="418" t="s">
        <v>31</v>
      </c>
      <c r="C19" s="427" t="s">
        <v>32</v>
      </c>
      <c r="D19" s="460"/>
      <c r="E19" s="459"/>
      <c r="F19" s="37">
        <v>1439.6</v>
      </c>
      <c r="G19" s="450">
        <f t="shared" si="1"/>
        <v>1439.6</v>
      </c>
      <c r="H19" s="457"/>
      <c r="I19" s="420">
        <f t="shared" si="2"/>
        <v>1439.6</v>
      </c>
      <c r="J19" s="460"/>
      <c r="K19" s="459"/>
      <c r="L19" s="37">
        <v>1500</v>
      </c>
      <c r="M19" s="450">
        <f t="shared" si="0"/>
        <v>1500</v>
      </c>
      <c r="N19" s="457"/>
      <c r="O19" s="420">
        <f t="shared" si="3"/>
        <v>1500</v>
      </c>
      <c r="P19" s="460"/>
      <c r="Q19" s="459"/>
      <c r="R19" s="37">
        <v>723.6</v>
      </c>
      <c r="S19" s="450">
        <f t="shared" si="4"/>
        <v>723.6</v>
      </c>
      <c r="T19" s="457"/>
      <c r="U19" s="420">
        <f t="shared" si="5"/>
        <v>723.6</v>
      </c>
      <c r="V19" s="460"/>
      <c r="W19" s="459"/>
      <c r="X19" s="37">
        <v>1400</v>
      </c>
      <c r="Y19" s="450">
        <f t="shared" si="6"/>
        <v>1400</v>
      </c>
      <c r="Z19" s="457"/>
      <c r="AA19" s="420">
        <f t="shared" si="7"/>
        <v>1400</v>
      </c>
      <c r="AB19" s="389">
        <f t="shared" si="8"/>
        <v>0.93333333333333335</v>
      </c>
      <c r="AC19" s="3"/>
      <c r="AD19" s="3"/>
    </row>
    <row r="20" spans="1:30" x14ac:dyDescent="0.25">
      <c r="A20" s="3"/>
      <c r="B20" s="418" t="s">
        <v>33</v>
      </c>
      <c r="C20" s="458" t="s">
        <v>34</v>
      </c>
      <c r="D20" s="456"/>
      <c r="E20" s="455"/>
      <c r="F20" s="454">
        <v>0</v>
      </c>
      <c r="G20" s="450"/>
      <c r="H20" s="457"/>
      <c r="I20" s="420">
        <f t="shared" si="2"/>
        <v>0</v>
      </c>
      <c r="J20" s="456"/>
      <c r="K20" s="455"/>
      <c r="L20" s="454">
        <v>1200</v>
      </c>
      <c r="M20" s="450">
        <f t="shared" si="0"/>
        <v>1200</v>
      </c>
      <c r="N20" s="457"/>
      <c r="O20" s="420">
        <f t="shared" si="3"/>
        <v>1200</v>
      </c>
      <c r="P20" s="456"/>
      <c r="Q20" s="455"/>
      <c r="R20" s="454"/>
      <c r="S20" s="450">
        <f t="shared" si="4"/>
        <v>0</v>
      </c>
      <c r="T20" s="457"/>
      <c r="U20" s="420">
        <f t="shared" si="5"/>
        <v>0</v>
      </c>
      <c r="V20" s="456"/>
      <c r="W20" s="455"/>
      <c r="X20" s="454">
        <v>2200</v>
      </c>
      <c r="Y20" s="450">
        <f t="shared" si="6"/>
        <v>2200</v>
      </c>
      <c r="Z20" s="457"/>
      <c r="AA20" s="420">
        <f t="shared" si="7"/>
        <v>2200</v>
      </c>
      <c r="AB20" s="389">
        <f t="shared" si="8"/>
        <v>1.8333333333333333</v>
      </c>
      <c r="AC20" s="3"/>
      <c r="AD20" s="3"/>
    </row>
    <row r="21" spans="1:30" x14ac:dyDescent="0.25">
      <c r="A21" s="3"/>
      <c r="B21" s="418" t="s">
        <v>35</v>
      </c>
      <c r="C21" s="423" t="s">
        <v>36</v>
      </c>
      <c r="D21" s="456"/>
      <c r="E21" s="455"/>
      <c r="F21" s="454">
        <v>2118.5</v>
      </c>
      <c r="G21" s="450">
        <f t="shared" si="1"/>
        <v>2118.5</v>
      </c>
      <c r="H21" s="453">
        <v>935.7</v>
      </c>
      <c r="I21" s="420">
        <f>G21+H21</f>
        <v>3054.2</v>
      </c>
      <c r="J21" s="456"/>
      <c r="K21" s="455"/>
      <c r="L21" s="454">
        <v>2450</v>
      </c>
      <c r="M21" s="450">
        <f t="shared" si="0"/>
        <v>2450</v>
      </c>
      <c r="N21" s="453">
        <v>100</v>
      </c>
      <c r="O21" s="420">
        <f>M21+N21</f>
        <v>2550</v>
      </c>
      <c r="P21" s="456"/>
      <c r="Q21" s="455"/>
      <c r="R21" s="454">
        <v>762</v>
      </c>
      <c r="S21" s="450">
        <f t="shared" si="4"/>
        <v>762</v>
      </c>
      <c r="T21" s="453">
        <v>584.5</v>
      </c>
      <c r="U21" s="420">
        <f>S21+T21</f>
        <v>1346.5</v>
      </c>
      <c r="V21" s="456"/>
      <c r="W21" s="455"/>
      <c r="X21" s="454">
        <v>2150</v>
      </c>
      <c r="Y21" s="450">
        <f t="shared" si="6"/>
        <v>2150</v>
      </c>
      <c r="Z21" s="453">
        <v>930</v>
      </c>
      <c r="AA21" s="420">
        <f>Y21+Z21</f>
        <v>3080</v>
      </c>
      <c r="AB21" s="389">
        <f t="shared" si="8"/>
        <v>1.2078431372549019</v>
      </c>
      <c r="AC21" s="3"/>
      <c r="AD21" s="3"/>
    </row>
    <row r="22" spans="1:30" x14ac:dyDescent="0.25">
      <c r="A22" s="3"/>
      <c r="B22" s="418" t="s">
        <v>37</v>
      </c>
      <c r="C22" s="423" t="s">
        <v>38</v>
      </c>
      <c r="D22" s="456"/>
      <c r="E22" s="455"/>
      <c r="F22" s="454"/>
      <c r="G22" s="450">
        <f t="shared" si="1"/>
        <v>0</v>
      </c>
      <c r="H22" s="453"/>
      <c r="I22" s="420">
        <f t="shared" si="2"/>
        <v>0</v>
      </c>
      <c r="J22" s="456"/>
      <c r="K22" s="455"/>
      <c r="L22" s="454"/>
      <c r="M22" s="450">
        <f t="shared" si="0"/>
        <v>0</v>
      </c>
      <c r="N22" s="453"/>
      <c r="O22" s="420">
        <f t="shared" ref="O22:O23" si="9">M22+N22</f>
        <v>0</v>
      </c>
      <c r="P22" s="456"/>
      <c r="Q22" s="455"/>
      <c r="R22" s="454"/>
      <c r="S22" s="450">
        <f t="shared" si="4"/>
        <v>0</v>
      </c>
      <c r="T22" s="453"/>
      <c r="U22" s="420">
        <f t="shared" ref="U22:U23" si="10">S22+T22</f>
        <v>0</v>
      </c>
      <c r="V22" s="456"/>
      <c r="W22" s="455"/>
      <c r="X22" s="454"/>
      <c r="Y22" s="450">
        <f t="shared" si="6"/>
        <v>0</v>
      </c>
      <c r="Z22" s="453"/>
      <c r="AA22" s="420">
        <f t="shared" ref="AA22:AA23" si="11">Y22+Z22</f>
        <v>0</v>
      </c>
      <c r="AB22" s="389" t="e">
        <f t="shared" si="8"/>
        <v>#DIV/0!</v>
      </c>
      <c r="AC22" s="3"/>
      <c r="AD22" s="3"/>
    </row>
    <row r="23" spans="1:30" ht="15.75" thickBot="1" x14ac:dyDescent="0.3">
      <c r="A23" s="3"/>
      <c r="B23" s="452" t="s">
        <v>39</v>
      </c>
      <c r="C23" s="451" t="s">
        <v>40</v>
      </c>
      <c r="D23" s="449"/>
      <c r="E23" s="448"/>
      <c r="F23" s="447"/>
      <c r="G23" s="446">
        <f t="shared" si="1"/>
        <v>0</v>
      </c>
      <c r="H23" s="445"/>
      <c r="I23" s="412">
        <f t="shared" si="2"/>
        <v>0</v>
      </c>
      <c r="J23" s="449"/>
      <c r="K23" s="448"/>
      <c r="L23" s="447"/>
      <c r="M23" s="446">
        <f t="shared" si="0"/>
        <v>0</v>
      </c>
      <c r="N23" s="445"/>
      <c r="O23" s="412">
        <f t="shared" si="9"/>
        <v>0</v>
      </c>
      <c r="P23" s="449"/>
      <c r="Q23" s="448"/>
      <c r="R23" s="447"/>
      <c r="S23" s="446">
        <f t="shared" si="4"/>
        <v>0</v>
      </c>
      <c r="T23" s="445"/>
      <c r="U23" s="412">
        <f t="shared" si="10"/>
        <v>0</v>
      </c>
      <c r="V23" s="449"/>
      <c r="W23" s="448"/>
      <c r="X23" s="447"/>
      <c r="Y23" s="446">
        <f t="shared" si="6"/>
        <v>0</v>
      </c>
      <c r="Z23" s="445"/>
      <c r="AA23" s="412">
        <f t="shared" si="11"/>
        <v>0</v>
      </c>
      <c r="AB23" s="411" t="e">
        <f t="shared" si="8"/>
        <v>#DIV/0!</v>
      </c>
      <c r="AC23" s="3"/>
      <c r="AD23" s="3"/>
    </row>
    <row r="24" spans="1:30" ht="15.75" thickBot="1" x14ac:dyDescent="0.3">
      <c r="A24" s="3"/>
      <c r="B24" s="410" t="s">
        <v>41</v>
      </c>
      <c r="C24" s="444" t="s">
        <v>42</v>
      </c>
      <c r="D24" s="443">
        <f>SUM(D15:D21)</f>
        <v>45080</v>
      </c>
      <c r="E24" s="442">
        <f>SUM(E15:E21)</f>
        <v>3142</v>
      </c>
      <c r="F24" s="442">
        <f>SUM(F15:F21)</f>
        <v>29183.599999999999</v>
      </c>
      <c r="G24" s="441">
        <f>SUM(D24:F24)</f>
        <v>77405.600000000006</v>
      </c>
      <c r="H24" s="440">
        <f>SUM(H15:H21)</f>
        <v>8252.7000000000007</v>
      </c>
      <c r="I24" s="440">
        <f>SUM(I15:I21)</f>
        <v>85658.3</v>
      </c>
      <c r="J24" s="443">
        <f>SUM(J15:J21)</f>
        <v>47032.3</v>
      </c>
      <c r="K24" s="442">
        <f>SUM(K15:K21)</f>
        <v>1400</v>
      </c>
      <c r="L24" s="442">
        <f>SUM(L15:L21)</f>
        <v>35250</v>
      </c>
      <c r="M24" s="441">
        <f>SUM(J24:L24)</f>
        <v>83682.3</v>
      </c>
      <c r="N24" s="440">
        <f>SUM(N15:N21)</f>
        <v>5150</v>
      </c>
      <c r="O24" s="440">
        <f>SUM(O15:O21)</f>
        <v>88832.3</v>
      </c>
      <c r="P24" s="443">
        <f>SUM(P15:P21)</f>
        <v>23516.2</v>
      </c>
      <c r="Q24" s="442">
        <f>SUM(Q15:Q21)</f>
        <v>900.6</v>
      </c>
      <c r="R24" s="442">
        <f>SUM(R15:R21)</f>
        <v>12793</v>
      </c>
      <c r="S24" s="441">
        <f>SUM(P24:R24)</f>
        <v>37209.800000000003</v>
      </c>
      <c r="T24" s="440">
        <f>SUM(T15:T21)</f>
        <v>4287</v>
      </c>
      <c r="U24" s="440">
        <f>SUM(U15:U21)</f>
        <v>41496.799999999996</v>
      </c>
      <c r="V24" s="443">
        <f>SUM(V15:V21)</f>
        <v>51600</v>
      </c>
      <c r="W24" s="442">
        <f>SUM(W15:W21)</f>
        <v>1100</v>
      </c>
      <c r="X24" s="442">
        <f>SUM(X15:X21)</f>
        <v>35950</v>
      </c>
      <c r="Y24" s="441">
        <f>SUM(V24:X24)</f>
        <v>88650</v>
      </c>
      <c r="Z24" s="440">
        <f>SUM(Z15:Z21)</f>
        <v>8130</v>
      </c>
      <c r="AA24" s="440">
        <f>SUM(AA15:AA21)</f>
        <v>96780</v>
      </c>
      <c r="AB24" s="439">
        <f t="shared" si="8"/>
        <v>1.089468582936612</v>
      </c>
      <c r="AC24" s="3"/>
      <c r="AD24" s="3"/>
    </row>
    <row r="25" spans="1:30" ht="15.75" customHeight="1" thickBot="1" x14ac:dyDescent="0.3">
      <c r="A25" s="3"/>
      <c r="B25" s="438"/>
      <c r="C25" s="437"/>
      <c r="D25" s="834" t="s">
        <v>43</v>
      </c>
      <c r="E25" s="835"/>
      <c r="F25" s="835"/>
      <c r="G25" s="836"/>
      <c r="H25" s="836"/>
      <c r="I25" s="837"/>
      <c r="J25" s="834" t="s">
        <v>43</v>
      </c>
      <c r="K25" s="835"/>
      <c r="L25" s="835"/>
      <c r="M25" s="836"/>
      <c r="N25" s="836"/>
      <c r="O25" s="837"/>
      <c r="P25" s="834" t="s">
        <v>43</v>
      </c>
      <c r="Q25" s="835"/>
      <c r="R25" s="835"/>
      <c r="S25" s="836"/>
      <c r="T25" s="836"/>
      <c r="U25" s="837"/>
      <c r="V25" s="834" t="s">
        <v>43</v>
      </c>
      <c r="W25" s="835"/>
      <c r="X25" s="835"/>
      <c r="Y25" s="836"/>
      <c r="Z25" s="836"/>
      <c r="AA25" s="837"/>
      <c r="AB25" s="842" t="s">
        <v>12</v>
      </c>
      <c r="AC25" s="3"/>
      <c r="AD25" s="3"/>
    </row>
    <row r="26" spans="1:30" ht="15.75" thickBot="1" x14ac:dyDescent="0.3">
      <c r="A26" s="3"/>
      <c r="B26" s="877" t="s">
        <v>6</v>
      </c>
      <c r="C26" s="864" t="s">
        <v>7</v>
      </c>
      <c r="D26" s="845" t="s">
        <v>44</v>
      </c>
      <c r="E26" s="846"/>
      <c r="F26" s="846"/>
      <c r="G26" s="838" t="s">
        <v>45</v>
      </c>
      <c r="H26" s="862" t="s">
        <v>46</v>
      </c>
      <c r="I26" s="847" t="s">
        <v>43</v>
      </c>
      <c r="J26" s="845" t="s">
        <v>44</v>
      </c>
      <c r="K26" s="846"/>
      <c r="L26" s="846"/>
      <c r="M26" s="838" t="s">
        <v>45</v>
      </c>
      <c r="N26" s="862" t="s">
        <v>46</v>
      </c>
      <c r="O26" s="847" t="s">
        <v>43</v>
      </c>
      <c r="P26" s="845" t="s">
        <v>44</v>
      </c>
      <c r="Q26" s="846"/>
      <c r="R26" s="846"/>
      <c r="S26" s="838" t="s">
        <v>45</v>
      </c>
      <c r="T26" s="862" t="s">
        <v>46</v>
      </c>
      <c r="U26" s="847" t="s">
        <v>43</v>
      </c>
      <c r="V26" s="845" t="s">
        <v>44</v>
      </c>
      <c r="W26" s="846"/>
      <c r="X26" s="846"/>
      <c r="Y26" s="838" t="s">
        <v>45</v>
      </c>
      <c r="Z26" s="862" t="s">
        <v>46</v>
      </c>
      <c r="AA26" s="847" t="s">
        <v>43</v>
      </c>
      <c r="AB26" s="843"/>
      <c r="AC26" s="3"/>
      <c r="AD26" s="3"/>
    </row>
    <row r="27" spans="1:30" ht="15.75" thickBot="1" x14ac:dyDescent="0.3">
      <c r="A27" s="3"/>
      <c r="B27" s="878"/>
      <c r="C27" s="865"/>
      <c r="D27" s="436" t="s">
        <v>47</v>
      </c>
      <c r="E27" s="435" t="s">
        <v>48</v>
      </c>
      <c r="F27" s="434" t="s">
        <v>49</v>
      </c>
      <c r="G27" s="839"/>
      <c r="H27" s="863"/>
      <c r="I27" s="848"/>
      <c r="J27" s="436" t="s">
        <v>47</v>
      </c>
      <c r="K27" s="435" t="s">
        <v>48</v>
      </c>
      <c r="L27" s="434" t="s">
        <v>49</v>
      </c>
      <c r="M27" s="839"/>
      <c r="N27" s="863"/>
      <c r="O27" s="848"/>
      <c r="P27" s="436" t="s">
        <v>47</v>
      </c>
      <c r="Q27" s="435" t="s">
        <v>48</v>
      </c>
      <c r="R27" s="434" t="s">
        <v>49</v>
      </c>
      <c r="S27" s="839"/>
      <c r="T27" s="863"/>
      <c r="U27" s="848"/>
      <c r="V27" s="436" t="s">
        <v>47</v>
      </c>
      <c r="W27" s="435" t="s">
        <v>48</v>
      </c>
      <c r="X27" s="434" t="s">
        <v>49</v>
      </c>
      <c r="Y27" s="937"/>
      <c r="Z27" s="863"/>
      <c r="AA27" s="848"/>
      <c r="AB27" s="844"/>
      <c r="AC27" s="3"/>
      <c r="AD27" s="3"/>
    </row>
    <row r="28" spans="1:30" ht="15.75" thickBot="1" x14ac:dyDescent="0.3">
      <c r="A28" s="3"/>
      <c r="B28" s="433" t="s">
        <v>50</v>
      </c>
      <c r="C28" s="432" t="s">
        <v>51</v>
      </c>
      <c r="D28" s="430">
        <v>5000</v>
      </c>
      <c r="E28" s="430"/>
      <c r="F28" s="430">
        <v>2068.1999999999998</v>
      </c>
      <c r="G28" s="429">
        <f>SUM(D28:F28)</f>
        <v>7068.2</v>
      </c>
      <c r="H28" s="429">
        <v>109.9</v>
      </c>
      <c r="I28" s="428">
        <f>G28+H28</f>
        <v>7178.0999999999995</v>
      </c>
      <c r="J28" s="431">
        <v>3025</v>
      </c>
      <c r="K28" s="430">
        <v>0</v>
      </c>
      <c r="L28" s="430">
        <v>2475</v>
      </c>
      <c r="M28" s="429">
        <f>SUM(J28:L28)</f>
        <v>5500</v>
      </c>
      <c r="N28" s="429">
        <v>100</v>
      </c>
      <c r="O28" s="428">
        <f>M28+N28</f>
        <v>5600</v>
      </c>
      <c r="P28" s="431">
        <v>1685.8</v>
      </c>
      <c r="Q28" s="430"/>
      <c r="R28" s="430">
        <v>510.20000000000005</v>
      </c>
      <c r="S28" s="429">
        <f>SUM(P28:R28)</f>
        <v>2196</v>
      </c>
      <c r="T28" s="429">
        <v>214.4</v>
      </c>
      <c r="U28" s="428">
        <f>S28+T28</f>
        <v>2410.4</v>
      </c>
      <c r="V28" s="431">
        <v>4000</v>
      </c>
      <c r="W28" s="430"/>
      <c r="X28" s="430">
        <v>2000</v>
      </c>
      <c r="Y28" s="480">
        <f>V28+W28+X28</f>
        <v>6000</v>
      </c>
      <c r="Z28" s="429">
        <v>150</v>
      </c>
      <c r="AA28" s="428">
        <f>Y28+Z28</f>
        <v>6150</v>
      </c>
      <c r="AB28" s="389">
        <f t="shared" ref="AB28:AB41" si="12">(AA28/O28)</f>
        <v>1.0982142857142858</v>
      </c>
      <c r="AC28" s="3"/>
      <c r="AD28" s="3"/>
    </row>
    <row r="29" spans="1:30" ht="15.75" thickBot="1" x14ac:dyDescent="0.3">
      <c r="A29" s="3"/>
      <c r="B29" s="418" t="s">
        <v>52</v>
      </c>
      <c r="C29" s="423" t="s">
        <v>53</v>
      </c>
      <c r="D29" s="421">
        <v>5000</v>
      </c>
      <c r="E29" s="421">
        <v>1859.2</v>
      </c>
      <c r="F29" s="421">
        <v>1887.4</v>
      </c>
      <c r="G29" s="416">
        <f t="shared" ref="G29:G38" si="13">SUM(D29:F29)</f>
        <v>8746.6</v>
      </c>
      <c r="H29" s="416">
        <v>775.9</v>
      </c>
      <c r="I29" s="420">
        <f t="shared" ref="I29:I38" si="14">G29+H29</f>
        <v>9522.5</v>
      </c>
      <c r="J29" s="422">
        <v>5017.3</v>
      </c>
      <c r="K29" s="421">
        <v>234</v>
      </c>
      <c r="L29" s="421">
        <v>4131</v>
      </c>
      <c r="M29" s="416">
        <f t="shared" ref="M29:M38" si="15">SUM(J29:L29)</f>
        <v>9382.2999999999993</v>
      </c>
      <c r="N29" s="416">
        <v>300</v>
      </c>
      <c r="O29" s="420">
        <f t="shared" ref="O29:O38" si="16">M29+N29</f>
        <v>9682.2999999999993</v>
      </c>
      <c r="P29" s="422">
        <v>3097.1</v>
      </c>
      <c r="Q29" s="421">
        <v>520.5</v>
      </c>
      <c r="R29" s="421">
        <v>2518.7000000000003</v>
      </c>
      <c r="S29" s="416">
        <f t="shared" ref="S29:S38" si="17">SUM(P29:R29)</f>
        <v>6136.3</v>
      </c>
      <c r="T29" s="416">
        <v>175.9</v>
      </c>
      <c r="U29" s="420">
        <f t="shared" ref="U29:U38" si="18">S29+T29</f>
        <v>6312.2</v>
      </c>
      <c r="V29" s="422">
        <v>4700</v>
      </c>
      <c r="W29" s="421">
        <v>600</v>
      </c>
      <c r="X29" s="421">
        <v>4000</v>
      </c>
      <c r="Y29" s="481">
        <f t="shared" ref="Y29:Y38" si="19">V29+W29+X29</f>
        <v>9300</v>
      </c>
      <c r="Z29" s="416">
        <v>900</v>
      </c>
      <c r="AA29" s="428">
        <f t="shared" ref="AA29:AA38" si="20">Y29+Z29</f>
        <v>10200</v>
      </c>
      <c r="AB29" s="389">
        <f t="shared" si="12"/>
        <v>1.0534687006186547</v>
      </c>
      <c r="AC29" s="3"/>
      <c r="AD29" s="3"/>
    </row>
    <row r="30" spans="1:30" ht="15.75" thickBot="1" x14ac:dyDescent="0.3">
      <c r="A30" s="3"/>
      <c r="B30" s="418" t="s">
        <v>54</v>
      </c>
      <c r="C30" s="423" t="s">
        <v>55</v>
      </c>
      <c r="D30" s="421">
        <v>2569</v>
      </c>
      <c r="E30" s="421"/>
      <c r="F30" s="421">
        <v>1759.5</v>
      </c>
      <c r="G30" s="416">
        <f t="shared" si="13"/>
        <v>4328.5</v>
      </c>
      <c r="H30" s="416">
        <v>88.3</v>
      </c>
      <c r="I30" s="420">
        <f t="shared" si="14"/>
        <v>4416.8</v>
      </c>
      <c r="J30" s="422">
        <v>3515</v>
      </c>
      <c r="K30" s="421">
        <v>0</v>
      </c>
      <c r="L30" s="421">
        <v>2725</v>
      </c>
      <c r="M30" s="416">
        <f t="shared" si="15"/>
        <v>6240</v>
      </c>
      <c r="N30" s="416">
        <v>0</v>
      </c>
      <c r="O30" s="420">
        <f t="shared" si="16"/>
        <v>6240</v>
      </c>
      <c r="P30" s="422">
        <v>2919.6</v>
      </c>
      <c r="Q30" s="421"/>
      <c r="R30" s="421">
        <v>675.30000000000007</v>
      </c>
      <c r="S30" s="416">
        <f t="shared" si="17"/>
        <v>3594.9</v>
      </c>
      <c r="T30" s="416"/>
      <c r="U30" s="420">
        <f t="shared" si="18"/>
        <v>3594.9</v>
      </c>
      <c r="V30" s="422">
        <v>5000</v>
      </c>
      <c r="W30" s="421"/>
      <c r="X30" s="421">
        <v>2000</v>
      </c>
      <c r="Y30" s="481">
        <f t="shared" si="19"/>
        <v>7000</v>
      </c>
      <c r="Z30" s="416"/>
      <c r="AA30" s="428">
        <f t="shared" si="20"/>
        <v>7000</v>
      </c>
      <c r="AB30" s="389">
        <f t="shared" si="12"/>
        <v>1.1217948717948718</v>
      </c>
      <c r="AC30" s="3"/>
      <c r="AD30" s="3"/>
    </row>
    <row r="31" spans="1:30" ht="15.75" thickBot="1" x14ac:dyDescent="0.3">
      <c r="A31" s="3"/>
      <c r="B31" s="418" t="s">
        <v>56</v>
      </c>
      <c r="C31" s="423" t="s">
        <v>57</v>
      </c>
      <c r="D31" s="421">
        <v>5000</v>
      </c>
      <c r="E31" s="421"/>
      <c r="F31" s="421">
        <v>4554.5</v>
      </c>
      <c r="G31" s="416">
        <f t="shared" si="13"/>
        <v>9554.5</v>
      </c>
      <c r="H31" s="416">
        <v>146</v>
      </c>
      <c r="I31" s="420">
        <f t="shared" si="14"/>
        <v>9700.5</v>
      </c>
      <c r="J31" s="422">
        <v>5200</v>
      </c>
      <c r="K31" s="421">
        <v>0</v>
      </c>
      <c r="L31" s="421">
        <v>4080</v>
      </c>
      <c r="M31" s="416">
        <f t="shared" si="15"/>
        <v>9280</v>
      </c>
      <c r="N31" s="416">
        <v>100</v>
      </c>
      <c r="O31" s="420">
        <f t="shared" si="16"/>
        <v>9380</v>
      </c>
      <c r="P31" s="422">
        <v>2616.5</v>
      </c>
      <c r="Q31" s="421"/>
      <c r="R31" s="421">
        <v>2106.5</v>
      </c>
      <c r="S31" s="416">
        <f t="shared" si="17"/>
        <v>4723</v>
      </c>
      <c r="T31" s="416">
        <v>25.9</v>
      </c>
      <c r="U31" s="420">
        <f t="shared" si="18"/>
        <v>4748.8999999999996</v>
      </c>
      <c r="V31" s="422">
        <v>6100</v>
      </c>
      <c r="W31" s="421"/>
      <c r="X31" s="421">
        <v>3500</v>
      </c>
      <c r="Y31" s="481">
        <f t="shared" si="19"/>
        <v>9600</v>
      </c>
      <c r="Z31" s="416">
        <v>200</v>
      </c>
      <c r="AA31" s="428">
        <f t="shared" si="20"/>
        <v>9800</v>
      </c>
      <c r="AB31" s="389">
        <f t="shared" si="12"/>
        <v>1.044776119402985</v>
      </c>
      <c r="AC31" s="3"/>
      <c r="AD31" s="3"/>
    </row>
    <row r="32" spans="1:30" ht="15.75" thickBot="1" x14ac:dyDescent="0.3">
      <c r="A32" s="3"/>
      <c r="B32" s="418" t="s">
        <v>58</v>
      </c>
      <c r="C32" s="423" t="s">
        <v>59</v>
      </c>
      <c r="D32" s="425">
        <v>14100</v>
      </c>
      <c r="E32" s="421">
        <v>528.1</v>
      </c>
      <c r="F32" s="421">
        <v>11980.1</v>
      </c>
      <c r="G32" s="416">
        <f t="shared" si="13"/>
        <v>26608.2</v>
      </c>
      <c r="H32" s="416">
        <v>1775.2</v>
      </c>
      <c r="I32" s="420">
        <f t="shared" si="14"/>
        <v>28383.4</v>
      </c>
      <c r="J32" s="424">
        <v>16500</v>
      </c>
      <c r="K32" s="421">
        <v>300</v>
      </c>
      <c r="L32" s="421">
        <v>14960</v>
      </c>
      <c r="M32" s="416">
        <f t="shared" si="15"/>
        <v>31760</v>
      </c>
      <c r="N32" s="416">
        <v>1200</v>
      </c>
      <c r="O32" s="420">
        <f t="shared" si="16"/>
        <v>32960</v>
      </c>
      <c r="P32" s="424">
        <v>7074.7</v>
      </c>
      <c r="Q32" s="421">
        <v>104.2</v>
      </c>
      <c r="R32" s="421">
        <v>7083.2999999999993</v>
      </c>
      <c r="S32" s="416">
        <f t="shared" si="17"/>
        <v>14262.199999999999</v>
      </c>
      <c r="T32" s="416">
        <v>309.5</v>
      </c>
      <c r="U32" s="420">
        <f t="shared" si="18"/>
        <v>14571.699999999999</v>
      </c>
      <c r="V32" s="422">
        <f>V33+V34</f>
        <v>18100</v>
      </c>
      <c r="W32" s="421">
        <v>500</v>
      </c>
      <c r="X32" s="421">
        <f>X33+X34</f>
        <v>17200</v>
      </c>
      <c r="Y32" s="482">
        <f t="shared" si="19"/>
        <v>35800</v>
      </c>
      <c r="Z32" s="416">
        <f>Z33+Z34</f>
        <v>630</v>
      </c>
      <c r="AA32" s="428">
        <f t="shared" si="20"/>
        <v>36430</v>
      </c>
      <c r="AB32" s="389">
        <f t="shared" si="12"/>
        <v>1.1052791262135921</v>
      </c>
      <c r="AC32" s="3"/>
      <c r="AD32" s="3"/>
    </row>
    <row r="33" spans="1:30" ht="15.75" thickBot="1" x14ac:dyDescent="0.3">
      <c r="A33" s="3"/>
      <c r="B33" s="418" t="s">
        <v>60</v>
      </c>
      <c r="C33" s="427" t="s">
        <v>61</v>
      </c>
      <c r="D33" s="425">
        <v>12600</v>
      </c>
      <c r="E33" s="421">
        <v>528.1</v>
      </c>
      <c r="F33" s="421">
        <v>10516.6</v>
      </c>
      <c r="G33" s="416">
        <f t="shared" si="13"/>
        <v>23644.7</v>
      </c>
      <c r="H33" s="416">
        <v>1549.5</v>
      </c>
      <c r="I33" s="420">
        <f t="shared" si="14"/>
        <v>25194.2</v>
      </c>
      <c r="J33" s="424">
        <v>14300</v>
      </c>
      <c r="K33" s="421">
        <v>300</v>
      </c>
      <c r="L33" s="421">
        <v>13360</v>
      </c>
      <c r="M33" s="416">
        <f t="shared" si="15"/>
        <v>27960</v>
      </c>
      <c r="N33" s="416">
        <v>900</v>
      </c>
      <c r="O33" s="420">
        <f t="shared" si="16"/>
        <v>28860</v>
      </c>
      <c r="P33" s="424">
        <v>5904.7</v>
      </c>
      <c r="Q33" s="421">
        <v>104.2</v>
      </c>
      <c r="R33" s="421">
        <v>5820.4</v>
      </c>
      <c r="S33" s="416">
        <f t="shared" si="17"/>
        <v>11829.3</v>
      </c>
      <c r="T33" s="416">
        <v>294.3</v>
      </c>
      <c r="U33" s="420">
        <f t="shared" si="18"/>
        <v>12123.599999999999</v>
      </c>
      <c r="V33" s="422">
        <v>15600</v>
      </c>
      <c r="W33" s="421">
        <v>500</v>
      </c>
      <c r="X33" s="421">
        <v>14900</v>
      </c>
      <c r="Y33" s="481">
        <f>29400+1600</f>
        <v>31000</v>
      </c>
      <c r="Z33" s="416">
        <v>500</v>
      </c>
      <c r="AA33" s="428">
        <f t="shared" si="20"/>
        <v>31500</v>
      </c>
      <c r="AB33" s="389">
        <f t="shared" si="12"/>
        <v>1.0914760914760915</v>
      </c>
      <c r="AC33" s="3"/>
      <c r="AD33" s="3"/>
    </row>
    <row r="34" spans="1:30" ht="15.75" thickBot="1" x14ac:dyDescent="0.3">
      <c r="A34" s="3"/>
      <c r="B34" s="418" t="s">
        <v>62</v>
      </c>
      <c r="C34" s="426" t="s">
        <v>63</v>
      </c>
      <c r="D34" s="425">
        <v>1500</v>
      </c>
      <c r="E34" s="421"/>
      <c r="F34" s="421">
        <v>1463.5</v>
      </c>
      <c r="G34" s="416">
        <f t="shared" si="13"/>
        <v>2963.5</v>
      </c>
      <c r="H34" s="416">
        <v>225.7</v>
      </c>
      <c r="I34" s="420">
        <f t="shared" si="14"/>
        <v>3189.2</v>
      </c>
      <c r="J34" s="424">
        <v>2200</v>
      </c>
      <c r="K34" s="421">
        <v>0</v>
      </c>
      <c r="L34" s="421">
        <v>1600</v>
      </c>
      <c r="M34" s="416">
        <f>SUM(J34:L34)</f>
        <v>3800</v>
      </c>
      <c r="N34" s="416">
        <v>300</v>
      </c>
      <c r="O34" s="420">
        <f t="shared" si="16"/>
        <v>4100</v>
      </c>
      <c r="P34" s="424">
        <v>1170</v>
      </c>
      <c r="Q34" s="421"/>
      <c r="R34" s="421">
        <v>1262.9000000000001</v>
      </c>
      <c r="S34" s="416">
        <f t="shared" si="17"/>
        <v>2432.9</v>
      </c>
      <c r="T34" s="416">
        <v>15.2</v>
      </c>
      <c r="U34" s="420">
        <f t="shared" si="18"/>
        <v>2448.1</v>
      </c>
      <c r="V34" s="422">
        <v>2500</v>
      </c>
      <c r="W34" s="421"/>
      <c r="X34" s="421">
        <v>2300</v>
      </c>
      <c r="Y34" s="481">
        <f>3700+1100</f>
        <v>4800</v>
      </c>
      <c r="Z34" s="416">
        <v>130</v>
      </c>
      <c r="AA34" s="428">
        <f t="shared" si="20"/>
        <v>4930</v>
      </c>
      <c r="AB34" s="389">
        <f t="shared" si="12"/>
        <v>1.2024390243902439</v>
      </c>
      <c r="AC34" s="3"/>
      <c r="AD34" s="3"/>
    </row>
    <row r="35" spans="1:30" ht="15.75" thickBot="1" x14ac:dyDescent="0.3">
      <c r="A35" s="3"/>
      <c r="B35" s="418" t="s">
        <v>64</v>
      </c>
      <c r="C35" s="423" t="s">
        <v>65</v>
      </c>
      <c r="D35" s="425">
        <v>5000</v>
      </c>
      <c r="E35" s="421">
        <v>178.5</v>
      </c>
      <c r="F35" s="421">
        <v>3100.9</v>
      </c>
      <c r="G35" s="416">
        <f t="shared" si="13"/>
        <v>8279.4</v>
      </c>
      <c r="H35" s="416">
        <v>518.79999999999995</v>
      </c>
      <c r="I35" s="420">
        <f t="shared" si="14"/>
        <v>8798.1999999999989</v>
      </c>
      <c r="J35" s="424">
        <v>5100</v>
      </c>
      <c r="K35" s="421">
        <v>0</v>
      </c>
      <c r="L35" s="421">
        <v>5030</v>
      </c>
      <c r="M35" s="416">
        <f t="shared" si="15"/>
        <v>10130</v>
      </c>
      <c r="N35" s="416">
        <v>300</v>
      </c>
      <c r="O35" s="420">
        <f t="shared" si="16"/>
        <v>10430</v>
      </c>
      <c r="P35" s="424">
        <v>2226.8999999999996</v>
      </c>
      <c r="Q35" s="421"/>
      <c r="R35" s="421">
        <v>2218.9</v>
      </c>
      <c r="S35" s="416">
        <f t="shared" si="17"/>
        <v>4445.7999999999993</v>
      </c>
      <c r="T35" s="416">
        <v>96.8</v>
      </c>
      <c r="U35" s="420">
        <f t="shared" si="18"/>
        <v>4542.5999999999995</v>
      </c>
      <c r="V35" s="422">
        <v>5310</v>
      </c>
      <c r="W35" s="421"/>
      <c r="X35" s="421">
        <v>5590</v>
      </c>
      <c r="Y35" s="481">
        <v>10900</v>
      </c>
      <c r="Z35" s="416">
        <v>180</v>
      </c>
      <c r="AA35" s="428">
        <f t="shared" si="20"/>
        <v>11080</v>
      </c>
      <c r="AB35" s="389">
        <f t="shared" si="12"/>
        <v>1.0623202301054651</v>
      </c>
      <c r="AC35" s="3"/>
      <c r="AD35" s="3"/>
    </row>
    <row r="36" spans="1:30" ht="15.75" thickBot="1" x14ac:dyDescent="0.3">
      <c r="A36" s="3"/>
      <c r="B36" s="418" t="s">
        <v>66</v>
      </c>
      <c r="C36" s="423" t="s">
        <v>67</v>
      </c>
      <c r="D36" s="421" t="s">
        <v>132</v>
      </c>
      <c r="E36" s="421"/>
      <c r="F36" s="421">
        <v>29.5</v>
      </c>
      <c r="G36" s="416">
        <f t="shared" si="13"/>
        <v>29.5</v>
      </c>
      <c r="H36" s="416">
        <v>0</v>
      </c>
      <c r="I36" s="420">
        <f t="shared" si="14"/>
        <v>29.5</v>
      </c>
      <c r="J36" s="422">
        <v>35</v>
      </c>
      <c r="K36" s="421">
        <v>0</v>
      </c>
      <c r="L36" s="421">
        <v>15</v>
      </c>
      <c r="M36" s="416">
        <f t="shared" si="15"/>
        <v>50</v>
      </c>
      <c r="N36" s="416">
        <v>0</v>
      </c>
      <c r="O36" s="420">
        <f t="shared" si="16"/>
        <v>50</v>
      </c>
      <c r="P36" s="422"/>
      <c r="Q36" s="421"/>
      <c r="R36" s="421"/>
      <c r="S36" s="416">
        <f t="shared" si="17"/>
        <v>0</v>
      </c>
      <c r="T36" s="416"/>
      <c r="U36" s="420">
        <f t="shared" si="18"/>
        <v>0</v>
      </c>
      <c r="V36" s="422"/>
      <c r="W36" s="421"/>
      <c r="X36" s="421">
        <v>50</v>
      </c>
      <c r="Y36" s="481">
        <f t="shared" si="19"/>
        <v>50</v>
      </c>
      <c r="Z36" s="416"/>
      <c r="AA36" s="428">
        <f t="shared" si="20"/>
        <v>50</v>
      </c>
      <c r="AB36" s="389">
        <f t="shared" si="12"/>
        <v>1</v>
      </c>
      <c r="AC36" s="3"/>
      <c r="AD36" s="3"/>
    </row>
    <row r="37" spans="1:30" ht="15.75" thickBot="1" x14ac:dyDescent="0.3">
      <c r="A37" s="3"/>
      <c r="B37" s="418" t="s">
        <v>68</v>
      </c>
      <c r="C37" s="423" t="s">
        <v>69</v>
      </c>
      <c r="D37" s="421">
        <v>6911</v>
      </c>
      <c r="E37" s="421"/>
      <c r="F37" s="421">
        <v>1439.6</v>
      </c>
      <c r="G37" s="416">
        <f t="shared" si="13"/>
        <v>8350.6</v>
      </c>
      <c r="H37" s="416">
        <v>1519.7</v>
      </c>
      <c r="I37" s="420">
        <f t="shared" si="14"/>
        <v>9870.3000000000011</v>
      </c>
      <c r="J37" s="422">
        <v>8160</v>
      </c>
      <c r="K37" s="421">
        <v>0</v>
      </c>
      <c r="L37" s="421">
        <v>1500</v>
      </c>
      <c r="M37" s="416">
        <f t="shared" si="15"/>
        <v>9660</v>
      </c>
      <c r="N37" s="416">
        <v>1100</v>
      </c>
      <c r="O37" s="420">
        <f t="shared" si="16"/>
        <v>10760</v>
      </c>
      <c r="P37" s="422">
        <v>3539.6</v>
      </c>
      <c r="Q37" s="421"/>
      <c r="R37" s="421">
        <v>723.6</v>
      </c>
      <c r="S37" s="416">
        <f t="shared" si="17"/>
        <v>4263.2</v>
      </c>
      <c r="T37" s="416">
        <v>742.5</v>
      </c>
      <c r="U37" s="420">
        <f t="shared" si="18"/>
        <v>5005.7</v>
      </c>
      <c r="V37" s="422">
        <v>7040</v>
      </c>
      <c r="W37" s="421"/>
      <c r="X37" s="421">
        <v>1500</v>
      </c>
      <c r="Y37" s="483">
        <f t="shared" si="19"/>
        <v>8540</v>
      </c>
      <c r="Z37" s="416">
        <v>1500</v>
      </c>
      <c r="AA37" s="428">
        <f t="shared" si="20"/>
        <v>10040</v>
      </c>
      <c r="AB37" s="389">
        <f t="shared" si="12"/>
        <v>0.93308550185873607</v>
      </c>
      <c r="AC37" s="3"/>
      <c r="AD37" s="3"/>
    </row>
    <row r="38" spans="1:30" ht="15.75" thickBot="1" x14ac:dyDescent="0.3">
      <c r="A38" s="3"/>
      <c r="B38" s="484" t="s">
        <v>70</v>
      </c>
      <c r="C38" s="417" t="s">
        <v>71</v>
      </c>
      <c r="D38" s="414">
        <v>1500</v>
      </c>
      <c r="E38" s="414">
        <f>261.4+314.8</f>
        <v>576.20000000000005</v>
      </c>
      <c r="F38" s="414">
        <v>1667.5</v>
      </c>
      <c r="G38" s="416">
        <f t="shared" si="13"/>
        <v>3743.7</v>
      </c>
      <c r="H38" s="413">
        <v>2435.8000000000002</v>
      </c>
      <c r="I38" s="412">
        <f t="shared" si="14"/>
        <v>6179.5</v>
      </c>
      <c r="J38" s="415">
        <v>480</v>
      </c>
      <c r="K38" s="414">
        <v>866</v>
      </c>
      <c r="L38" s="414">
        <v>1054</v>
      </c>
      <c r="M38" s="413">
        <f t="shared" si="15"/>
        <v>2400</v>
      </c>
      <c r="N38" s="413">
        <v>1330</v>
      </c>
      <c r="O38" s="412">
        <f t="shared" si="16"/>
        <v>3730</v>
      </c>
      <c r="P38" s="415">
        <v>356</v>
      </c>
      <c r="Q38" s="414">
        <v>275.89999999999998</v>
      </c>
      <c r="R38" s="414">
        <v>749</v>
      </c>
      <c r="S38" s="413">
        <f t="shared" si="17"/>
        <v>1380.9</v>
      </c>
      <c r="T38" s="413">
        <v>1167.6999999999998</v>
      </c>
      <c r="U38" s="412">
        <f t="shared" si="18"/>
        <v>2548.6</v>
      </c>
      <c r="V38" s="415">
        <v>1350</v>
      </c>
      <c r="W38" s="414"/>
      <c r="X38" s="414">
        <v>2000</v>
      </c>
      <c r="Y38" s="482">
        <f t="shared" si="19"/>
        <v>3350</v>
      </c>
      <c r="Z38" s="413">
        <v>2680</v>
      </c>
      <c r="AA38" s="428">
        <f t="shared" si="20"/>
        <v>6030</v>
      </c>
      <c r="AB38" s="411">
        <f t="shared" si="12"/>
        <v>1.6166219839142091</v>
      </c>
      <c r="AC38" s="3"/>
      <c r="AD38" s="3"/>
    </row>
    <row r="39" spans="1:30" ht="15.75" thickBot="1" x14ac:dyDescent="0.3">
      <c r="A39" s="3"/>
      <c r="B39" s="410" t="s">
        <v>72</v>
      </c>
      <c r="C39" s="409" t="s">
        <v>73</v>
      </c>
      <c r="D39" s="408">
        <f>SUM(D35:D38)+SUM(D28:D32)</f>
        <v>45080</v>
      </c>
      <c r="E39" s="408">
        <f>SUM(E35:E38)+SUM(E28:E32)</f>
        <v>3142</v>
      </c>
      <c r="F39" s="408">
        <f>SUM(F35:F38)+SUM(F28:F32)</f>
        <v>28487.200000000001</v>
      </c>
      <c r="G39" s="407">
        <f>SUM(D39:F39)</f>
        <v>76709.2</v>
      </c>
      <c r="H39" s="406">
        <f>SUM(H28:H32)+SUM(H35:H38)</f>
        <v>7369.6</v>
      </c>
      <c r="I39" s="405">
        <f>SUM(I35:I38)+SUM(I28:I32)</f>
        <v>84078.8</v>
      </c>
      <c r="J39" s="408">
        <f>SUM(J35:J38)+SUM(J28:J32)</f>
        <v>47032.3</v>
      </c>
      <c r="K39" s="408">
        <f>SUM(K35:K38)+SUM(K28:K32)</f>
        <v>1400</v>
      </c>
      <c r="L39" s="408">
        <f>SUM(L35:L38)+SUM(L28:L32)</f>
        <v>35970</v>
      </c>
      <c r="M39" s="407">
        <f>SUM(J39:L39)</f>
        <v>84402.3</v>
      </c>
      <c r="N39" s="406">
        <f>SUM(N28:N32)+SUM(N35:N38)</f>
        <v>4430</v>
      </c>
      <c r="O39" s="405">
        <f>SUM(O35:O38)+SUM(O28:O32)</f>
        <v>88832.3</v>
      </c>
      <c r="P39" s="408">
        <f>SUM(P35:P38)+SUM(P28:P32)</f>
        <v>23516.2</v>
      </c>
      <c r="Q39" s="408">
        <f>SUM(Q35:Q38)+SUM(Q28:Q32)</f>
        <v>900.6</v>
      </c>
      <c r="R39" s="408">
        <f>SUM(R35:R38)+SUM(R28:R32)</f>
        <v>16585.5</v>
      </c>
      <c r="S39" s="407">
        <f>SUM(P39:R39)</f>
        <v>41002.300000000003</v>
      </c>
      <c r="T39" s="406">
        <f>SUM(T28:T32)+SUM(T35:T38)</f>
        <v>2732.7</v>
      </c>
      <c r="U39" s="405">
        <f>SUM(U35:U38)+SUM(U28:U32)</f>
        <v>43735</v>
      </c>
      <c r="V39" s="408">
        <f>SUM(V35:V38)+SUM(V28:V32)</f>
        <v>51600</v>
      </c>
      <c r="W39" s="408">
        <f>SUM(W35:W38)+SUM(W28:W32)</f>
        <v>1100</v>
      </c>
      <c r="X39" s="485">
        <f>X28+X29+X30+X31+X32+X35+X36+X37+X38</f>
        <v>37840</v>
      </c>
      <c r="Y39" s="486">
        <f>Y28+Y29+Y30+Y31+Y32+Y35+Y36+Y37+Y38</f>
        <v>90540</v>
      </c>
      <c r="Z39" s="406">
        <f>Z28+Z29+Z31+Z32+Z35+Z37+Z38</f>
        <v>6240</v>
      </c>
      <c r="AA39" s="405">
        <f>AA28+AA29+AA30+AA31+AA32+AA35+AA36+AA37+AA38</f>
        <v>96780</v>
      </c>
      <c r="AB39" s="404">
        <f t="shared" si="12"/>
        <v>1.089468582936612</v>
      </c>
      <c r="AC39" s="3"/>
      <c r="AD39" s="3"/>
    </row>
    <row r="40" spans="1:30" ht="19.5" thickBot="1" x14ac:dyDescent="0.35">
      <c r="A40" s="3"/>
      <c r="B40" s="403" t="s">
        <v>74</v>
      </c>
      <c r="C40" s="402" t="s">
        <v>75</v>
      </c>
      <c r="D40" s="401">
        <f t="shared" ref="D40:AA40" si="21">D24-D39</f>
        <v>0</v>
      </c>
      <c r="E40" s="401">
        <f t="shared" si="21"/>
        <v>0</v>
      </c>
      <c r="F40" s="401">
        <f t="shared" si="21"/>
        <v>696.39999999999782</v>
      </c>
      <c r="G40" s="400">
        <f t="shared" si="21"/>
        <v>696.40000000000873</v>
      </c>
      <c r="H40" s="400">
        <f t="shared" si="21"/>
        <v>883.10000000000036</v>
      </c>
      <c r="I40" s="399">
        <f t="shared" si="21"/>
        <v>1579.5</v>
      </c>
      <c r="J40" s="401">
        <f t="shared" si="21"/>
        <v>0</v>
      </c>
      <c r="K40" s="401">
        <f t="shared" si="21"/>
        <v>0</v>
      </c>
      <c r="L40" s="401">
        <f t="shared" si="21"/>
        <v>-720</v>
      </c>
      <c r="M40" s="400">
        <f t="shared" si="21"/>
        <v>-720</v>
      </c>
      <c r="N40" s="400">
        <f t="shared" si="21"/>
        <v>720</v>
      </c>
      <c r="O40" s="399">
        <f t="shared" si="21"/>
        <v>0</v>
      </c>
      <c r="P40" s="401">
        <f t="shared" si="21"/>
        <v>0</v>
      </c>
      <c r="Q40" s="401">
        <f t="shared" si="21"/>
        <v>0</v>
      </c>
      <c r="R40" s="401">
        <f t="shared" si="21"/>
        <v>-3792.5</v>
      </c>
      <c r="S40" s="400">
        <f t="shared" si="21"/>
        <v>-3792.5</v>
      </c>
      <c r="T40" s="400">
        <f t="shared" si="21"/>
        <v>1554.3000000000002</v>
      </c>
      <c r="U40" s="399">
        <f t="shared" si="21"/>
        <v>-2238.2000000000044</v>
      </c>
      <c r="V40" s="401">
        <f t="shared" si="21"/>
        <v>0</v>
      </c>
      <c r="W40" s="401">
        <f t="shared" si="21"/>
        <v>0</v>
      </c>
      <c r="X40" s="401">
        <f t="shared" si="21"/>
        <v>-1890</v>
      </c>
      <c r="Y40" s="487">
        <f t="shared" si="21"/>
        <v>-1890</v>
      </c>
      <c r="Z40" s="400">
        <f t="shared" si="21"/>
        <v>1890</v>
      </c>
      <c r="AA40" s="399">
        <f t="shared" si="21"/>
        <v>0</v>
      </c>
      <c r="AB40" s="398" t="e">
        <f t="shared" si="12"/>
        <v>#DIV/0!</v>
      </c>
      <c r="AC40" s="3"/>
      <c r="AD40" s="3"/>
    </row>
    <row r="41" spans="1:30" ht="15.75" thickBot="1" x14ac:dyDescent="0.3">
      <c r="A41" s="3"/>
      <c r="B41" s="397" t="s">
        <v>76</v>
      </c>
      <c r="C41" s="396" t="s">
        <v>77</v>
      </c>
      <c r="D41" s="394"/>
      <c r="E41" s="393"/>
      <c r="F41" s="393"/>
      <c r="G41" s="392"/>
      <c r="H41" s="395"/>
      <c r="I41" s="390">
        <f>I40-D16</f>
        <v>-43500.5</v>
      </c>
      <c r="J41" s="394"/>
      <c r="K41" s="393"/>
      <c r="L41" s="393"/>
      <c r="M41" s="392"/>
      <c r="N41" s="391"/>
      <c r="O41" s="390">
        <f>O40-J16</f>
        <v>-47032.3</v>
      </c>
      <c r="P41" s="394"/>
      <c r="Q41" s="393"/>
      <c r="R41" s="393"/>
      <c r="S41" s="392"/>
      <c r="T41" s="391"/>
      <c r="U41" s="390">
        <f>U40-P16</f>
        <v>-25754.400000000005</v>
      </c>
      <c r="V41" s="394"/>
      <c r="W41" s="393"/>
      <c r="X41" s="393"/>
      <c r="Y41" s="392"/>
      <c r="Z41" s="391"/>
      <c r="AA41" s="390">
        <f>AA40-V16</f>
        <v>-51600</v>
      </c>
      <c r="AB41" s="389">
        <f t="shared" si="12"/>
        <v>1.0971183633375361</v>
      </c>
      <c r="AC41" s="3"/>
      <c r="AD41" s="3"/>
    </row>
    <row r="42" spans="1:30" ht="8.25" customHeight="1" thickBot="1" x14ac:dyDescent="0.3">
      <c r="A42" s="3"/>
      <c r="B42" s="382"/>
      <c r="C42" s="370"/>
      <c r="D42" s="388"/>
      <c r="E42" s="369"/>
      <c r="F42" s="369"/>
      <c r="G42" s="3"/>
      <c r="H42" s="369"/>
      <c r="I42" s="369"/>
      <c r="J42" s="388"/>
      <c r="K42" s="369"/>
      <c r="L42" s="369"/>
      <c r="M42" s="3"/>
      <c r="N42" s="369"/>
      <c r="O42" s="369"/>
      <c r="P42" s="369"/>
      <c r="Q42" s="369"/>
      <c r="R42" s="369"/>
      <c r="S42" s="369"/>
      <c r="T42" s="369"/>
      <c r="U42" s="369"/>
      <c r="V42" s="3"/>
      <c r="W42" s="3"/>
      <c r="X42" s="3"/>
      <c r="Y42" s="3"/>
      <c r="Z42" s="3"/>
      <c r="AA42" s="3"/>
      <c r="AB42" s="3"/>
      <c r="AC42" s="3"/>
      <c r="AD42" s="3"/>
    </row>
    <row r="43" spans="1:30" ht="15.75" customHeight="1" thickBot="1" x14ac:dyDescent="0.3">
      <c r="A43" s="3"/>
      <c r="B43" s="382"/>
      <c r="C43" s="873" t="s">
        <v>78</v>
      </c>
      <c r="D43" s="112" t="s">
        <v>79</v>
      </c>
      <c r="E43" s="387" t="s">
        <v>80</v>
      </c>
      <c r="F43" s="386" t="s">
        <v>81</v>
      </c>
      <c r="G43" s="369"/>
      <c r="H43" s="369"/>
      <c r="I43" s="368"/>
      <c r="J43" s="112" t="s">
        <v>79</v>
      </c>
      <c r="K43" s="387" t="s">
        <v>80</v>
      </c>
      <c r="L43" s="386" t="s">
        <v>81</v>
      </c>
      <c r="M43" s="369"/>
      <c r="N43" s="369"/>
      <c r="O43" s="369"/>
      <c r="P43" s="112" t="s">
        <v>79</v>
      </c>
      <c r="Q43" s="387" t="s">
        <v>80</v>
      </c>
      <c r="R43" s="386" t="s">
        <v>81</v>
      </c>
      <c r="S43" s="3"/>
      <c r="T43" s="3"/>
      <c r="U43" s="3"/>
      <c r="V43" s="112" t="s">
        <v>79</v>
      </c>
      <c r="W43" s="387" t="s">
        <v>80</v>
      </c>
      <c r="X43" s="386" t="s">
        <v>81</v>
      </c>
      <c r="Y43" s="3"/>
      <c r="Z43" s="3"/>
      <c r="AA43" s="3"/>
      <c r="AB43" s="3"/>
      <c r="AC43" s="3"/>
      <c r="AD43" s="3"/>
    </row>
    <row r="44" spans="1:30" ht="15.75" thickBot="1" x14ac:dyDescent="0.3">
      <c r="A44" s="3"/>
      <c r="B44" s="382"/>
      <c r="C44" s="874"/>
      <c r="D44" s="378">
        <v>2000</v>
      </c>
      <c r="E44" s="385">
        <v>2000</v>
      </c>
      <c r="F44" s="384">
        <v>0</v>
      </c>
      <c r="G44" s="369"/>
      <c r="H44" s="369"/>
      <c r="I44" s="368"/>
      <c r="J44" s="378"/>
      <c r="K44" s="385"/>
      <c r="L44" s="384">
        <v>0</v>
      </c>
      <c r="M44" s="383"/>
      <c r="N44" s="383"/>
      <c r="O44" s="383"/>
      <c r="P44" s="378"/>
      <c r="Q44" s="385"/>
      <c r="R44" s="384">
        <v>0</v>
      </c>
      <c r="S44" s="3"/>
      <c r="T44" s="3"/>
      <c r="U44" s="3"/>
      <c r="V44" s="378"/>
      <c r="W44" s="385"/>
      <c r="X44" s="384">
        <v>0</v>
      </c>
      <c r="Y44" s="3"/>
      <c r="Z44" s="3"/>
      <c r="AA44" s="3"/>
      <c r="AB44" s="3"/>
      <c r="AC44" s="3"/>
      <c r="AD44" s="3"/>
    </row>
    <row r="45" spans="1:30" ht="8.25" customHeight="1" thickBot="1" x14ac:dyDescent="0.3">
      <c r="A45" s="3"/>
      <c r="B45" s="382"/>
      <c r="C45" s="370"/>
      <c r="D45" s="383"/>
      <c r="E45" s="369"/>
      <c r="F45" s="369"/>
      <c r="G45" s="369"/>
      <c r="H45" s="369"/>
      <c r="I45" s="368"/>
      <c r="J45" s="369"/>
      <c r="K45" s="369"/>
      <c r="L45" s="369"/>
      <c r="M45" s="369"/>
      <c r="N45" s="369"/>
      <c r="O45" s="368"/>
      <c r="P45" s="368"/>
      <c r="Q45" s="368"/>
      <c r="R45" s="368"/>
      <c r="S45" s="368"/>
      <c r="T45" s="368"/>
      <c r="U45" s="368"/>
      <c r="V45" s="3"/>
      <c r="W45" s="3"/>
      <c r="X45" s="3"/>
      <c r="Y45" s="3"/>
      <c r="Z45" s="3"/>
      <c r="AA45" s="3"/>
      <c r="AB45" s="3"/>
      <c r="AC45" s="3"/>
      <c r="AD45" s="3"/>
    </row>
    <row r="46" spans="1:30" ht="37.5" customHeight="1" thickBot="1" x14ac:dyDescent="0.3">
      <c r="A46" s="3"/>
      <c r="B46" s="382"/>
      <c r="C46" s="873" t="s">
        <v>82</v>
      </c>
      <c r="D46" s="120" t="s">
        <v>83</v>
      </c>
      <c r="E46" s="380" t="s">
        <v>84</v>
      </c>
      <c r="F46" s="369"/>
      <c r="G46" s="369"/>
      <c r="H46" s="369"/>
      <c r="I46" s="368"/>
      <c r="J46" s="120" t="s">
        <v>83</v>
      </c>
      <c r="K46" s="380" t="s">
        <v>84</v>
      </c>
      <c r="L46" s="381"/>
      <c r="M46" s="381"/>
      <c r="N46" s="3"/>
      <c r="O46" s="3"/>
      <c r="P46" s="120" t="s">
        <v>83</v>
      </c>
      <c r="Q46" s="380" t="s">
        <v>84</v>
      </c>
      <c r="R46" s="3"/>
      <c r="S46" s="3"/>
      <c r="T46" s="3"/>
      <c r="U46" s="3"/>
      <c r="V46" s="120" t="s">
        <v>83</v>
      </c>
      <c r="W46" s="380" t="s">
        <v>84</v>
      </c>
      <c r="X46" s="3"/>
      <c r="Y46" s="3"/>
      <c r="Z46" s="3"/>
      <c r="AA46" s="3"/>
      <c r="AB46" s="3"/>
      <c r="AC46" s="3"/>
      <c r="AD46" s="3"/>
    </row>
    <row r="47" spans="1:30" ht="15.75" thickBot="1" x14ac:dyDescent="0.3">
      <c r="A47" s="3"/>
      <c r="B47" s="371"/>
      <c r="C47" s="875"/>
      <c r="D47" s="378">
        <v>2730.9</v>
      </c>
      <c r="E47" s="377">
        <v>0</v>
      </c>
      <c r="F47" s="369"/>
      <c r="G47" s="369"/>
      <c r="H47" s="369"/>
      <c r="I47" s="368"/>
      <c r="J47" s="378">
        <v>5000</v>
      </c>
      <c r="K47" s="377">
        <v>0</v>
      </c>
      <c r="L47" s="379"/>
      <c r="M47" s="379"/>
      <c r="N47" s="3"/>
      <c r="O47" s="3"/>
      <c r="P47" s="378">
        <v>5000</v>
      </c>
      <c r="Q47" s="377">
        <v>0</v>
      </c>
      <c r="R47" s="3"/>
      <c r="S47" s="3"/>
      <c r="T47" s="3"/>
      <c r="U47" s="3"/>
      <c r="V47" s="378">
        <v>5000</v>
      </c>
      <c r="W47" s="377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3"/>
      <c r="B48" s="371"/>
      <c r="C48" s="370"/>
      <c r="D48" s="369"/>
      <c r="E48" s="369"/>
      <c r="F48" s="369"/>
      <c r="G48" s="369"/>
      <c r="H48" s="369"/>
      <c r="I48" s="368"/>
      <c r="J48" s="369"/>
      <c r="K48" s="369"/>
      <c r="L48" s="369"/>
      <c r="M48" s="369"/>
      <c r="N48" s="369"/>
      <c r="O48" s="368"/>
      <c r="P48" s="368"/>
      <c r="Q48" s="368"/>
      <c r="R48" s="368"/>
      <c r="S48" s="368"/>
      <c r="T48" s="368"/>
      <c r="U48" s="368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"/>
      <c r="B49" s="371"/>
      <c r="C49" s="375" t="s">
        <v>85</v>
      </c>
      <c r="D49" s="374" t="s">
        <v>86</v>
      </c>
      <c r="E49" s="374" t="s">
        <v>87</v>
      </c>
      <c r="F49" s="374" t="s">
        <v>88</v>
      </c>
      <c r="G49" s="374" t="s">
        <v>89</v>
      </c>
      <c r="H49" s="369"/>
      <c r="I49" s="3"/>
      <c r="J49" s="374" t="s">
        <v>86</v>
      </c>
      <c r="K49" s="374" t="s">
        <v>87</v>
      </c>
      <c r="L49" s="374" t="s">
        <v>88</v>
      </c>
      <c r="M49" s="374" t="s">
        <v>90</v>
      </c>
      <c r="N49" s="3"/>
      <c r="O49" s="3"/>
      <c r="P49" s="374" t="s">
        <v>86</v>
      </c>
      <c r="Q49" s="374" t="s">
        <v>87</v>
      </c>
      <c r="R49" s="374" t="s">
        <v>88</v>
      </c>
      <c r="S49" s="374" t="s">
        <v>90</v>
      </c>
      <c r="T49" s="3"/>
      <c r="U49" s="3"/>
      <c r="V49" s="374" t="s">
        <v>92</v>
      </c>
      <c r="W49" s="374" t="s">
        <v>87</v>
      </c>
      <c r="X49" s="374" t="s">
        <v>88</v>
      </c>
      <c r="Y49" s="374" t="s">
        <v>90</v>
      </c>
      <c r="Z49" s="3"/>
      <c r="AA49" s="3"/>
      <c r="AB49" s="3"/>
      <c r="AC49" s="3"/>
      <c r="AD49" s="3"/>
    </row>
    <row r="50" spans="1:30" x14ac:dyDescent="0.25">
      <c r="A50" s="3"/>
      <c r="B50" s="371"/>
      <c r="C50" s="373" t="s">
        <v>93</v>
      </c>
      <c r="D50" s="132">
        <f t="shared" ref="D50:F50" si="22">SUM(D51:D54)</f>
        <v>15202.8</v>
      </c>
      <c r="E50" s="132">
        <f t="shared" si="22"/>
        <v>14997.899999999998</v>
      </c>
      <c r="F50" s="132">
        <f t="shared" si="22"/>
        <v>10029.200000000001</v>
      </c>
      <c r="G50" s="132">
        <f>SUM(G51:G54)</f>
        <v>20171.499999999996</v>
      </c>
      <c r="H50" s="369"/>
      <c r="I50" s="3"/>
      <c r="J50" s="131"/>
      <c r="K50" s="131"/>
      <c r="L50" s="131"/>
      <c r="M50" s="132">
        <f>SUM(M51:M54)</f>
        <v>30671.499999999996</v>
      </c>
      <c r="N50" s="3"/>
      <c r="O50" s="3"/>
      <c r="P50" s="132"/>
      <c r="Q50" s="132"/>
      <c r="R50" s="132"/>
      <c r="S50" s="132">
        <f>SUM(S51:S54)</f>
        <v>31850</v>
      </c>
      <c r="T50" s="3"/>
      <c r="U50" s="3"/>
      <c r="V50" s="131"/>
      <c r="W50" s="131"/>
      <c r="X50" s="131"/>
      <c r="Y50" s="132">
        <f>SUM(Y51:Y54)</f>
        <v>29300</v>
      </c>
      <c r="Z50" s="3"/>
      <c r="AA50" s="3"/>
      <c r="AB50" s="3"/>
      <c r="AC50" s="3"/>
      <c r="AD50" s="3"/>
    </row>
    <row r="51" spans="1:30" x14ac:dyDescent="0.25">
      <c r="A51" s="3"/>
      <c r="B51" s="371"/>
      <c r="C51" s="373" t="s">
        <v>94</v>
      </c>
      <c r="D51" s="131">
        <v>2143.1</v>
      </c>
      <c r="E51" s="131">
        <f>1745.6+134.7</f>
        <v>1880.3</v>
      </c>
      <c r="F51" s="131"/>
      <c r="G51" s="132">
        <f t="shared" ref="G51:G54" si="23">D51+E51-F51</f>
        <v>4023.3999999999996</v>
      </c>
      <c r="H51" s="369"/>
      <c r="I51" s="3"/>
      <c r="J51" s="131">
        <v>4023.3999999999996</v>
      </c>
      <c r="K51" s="131">
        <v>2000</v>
      </c>
      <c r="L51" s="131">
        <v>1500</v>
      </c>
      <c r="M51" s="132">
        <f t="shared" ref="M51:M54" si="24">J51+K51-L51</f>
        <v>4523.3999999999996</v>
      </c>
      <c r="N51" s="3"/>
      <c r="O51" s="3"/>
      <c r="P51" s="131">
        <v>4023.3999999999996</v>
      </c>
      <c r="Q51" s="131">
        <v>1889.3</v>
      </c>
      <c r="R51" s="131">
        <v>0</v>
      </c>
      <c r="S51" s="132">
        <v>6500</v>
      </c>
      <c r="T51" s="3"/>
      <c r="U51" s="3"/>
      <c r="V51" s="132">
        <v>6500</v>
      </c>
      <c r="W51" s="131">
        <v>2000</v>
      </c>
      <c r="X51" s="131">
        <v>2200</v>
      </c>
      <c r="Y51" s="132">
        <f t="shared" ref="Y51:Y54" si="25">V51+W51-X51</f>
        <v>6300</v>
      </c>
      <c r="Z51" s="3"/>
      <c r="AA51" s="3"/>
      <c r="AB51" s="3"/>
      <c r="AC51" s="3"/>
      <c r="AD51" s="3"/>
    </row>
    <row r="52" spans="1:30" x14ac:dyDescent="0.25">
      <c r="A52" s="3"/>
      <c r="B52" s="371"/>
      <c r="C52" s="373" t="s">
        <v>95</v>
      </c>
      <c r="D52" s="131">
        <v>11794.4</v>
      </c>
      <c r="E52" s="131">
        <f>8388.3+2730.9+1496.3</f>
        <v>12615.499999999998</v>
      </c>
      <c r="F52" s="131">
        <f>7579.5+2000</f>
        <v>9579.5</v>
      </c>
      <c r="G52" s="132">
        <f t="shared" si="23"/>
        <v>14830.399999999998</v>
      </c>
      <c r="H52" s="369"/>
      <c r="I52" s="3"/>
      <c r="J52" s="131">
        <v>14830.399999999998</v>
      </c>
      <c r="K52" s="131">
        <v>10000</v>
      </c>
      <c r="L52" s="131">
        <v>0</v>
      </c>
      <c r="M52" s="132">
        <f t="shared" si="24"/>
        <v>24830.399999999998</v>
      </c>
      <c r="N52" s="3"/>
      <c r="O52" s="3"/>
      <c r="P52" s="131">
        <v>14830.399999999998</v>
      </c>
      <c r="Q52" s="131">
        <v>5654</v>
      </c>
      <c r="R52" s="131">
        <v>634.6</v>
      </c>
      <c r="S52" s="132">
        <v>24000</v>
      </c>
      <c r="T52" s="3"/>
      <c r="U52" s="3"/>
      <c r="V52" s="132">
        <v>24000</v>
      </c>
      <c r="W52" s="131">
        <v>17500</v>
      </c>
      <c r="X52" s="131">
        <v>20000</v>
      </c>
      <c r="Y52" s="132">
        <f t="shared" si="25"/>
        <v>21500</v>
      </c>
      <c r="Z52" s="3"/>
      <c r="AA52" s="3"/>
      <c r="AB52" s="3"/>
      <c r="AC52" s="3"/>
      <c r="AD52" s="3"/>
    </row>
    <row r="53" spans="1:30" x14ac:dyDescent="0.25">
      <c r="A53" s="3"/>
      <c r="B53" s="371"/>
      <c r="C53" s="373" t="s">
        <v>96</v>
      </c>
      <c r="D53" s="131">
        <v>600</v>
      </c>
      <c r="E53" s="131">
        <v>0</v>
      </c>
      <c r="F53" s="131">
        <v>0</v>
      </c>
      <c r="G53" s="132">
        <f t="shared" si="23"/>
        <v>600</v>
      </c>
      <c r="H53" s="369"/>
      <c r="I53" s="3"/>
      <c r="J53" s="131">
        <v>600</v>
      </c>
      <c r="K53" s="131">
        <v>0</v>
      </c>
      <c r="L53" s="131">
        <v>0</v>
      </c>
      <c r="M53" s="132">
        <f t="shared" si="24"/>
        <v>600</v>
      </c>
      <c r="N53" s="3"/>
      <c r="O53" s="3"/>
      <c r="P53" s="131">
        <v>600</v>
      </c>
      <c r="Q53" s="131">
        <v>0</v>
      </c>
      <c r="R53" s="131">
        <v>0</v>
      </c>
      <c r="S53" s="132">
        <f t="shared" ref="S53" si="26">P53+Q53-R53</f>
        <v>600</v>
      </c>
      <c r="T53" s="3"/>
      <c r="U53" s="3"/>
      <c r="V53" s="132">
        <f t="shared" ref="V53" si="27">S53+T53-U53</f>
        <v>600</v>
      </c>
      <c r="W53" s="131">
        <v>0</v>
      </c>
      <c r="X53" s="131">
        <v>0</v>
      </c>
      <c r="Y53" s="132">
        <f t="shared" si="25"/>
        <v>600</v>
      </c>
      <c r="Z53" s="3"/>
      <c r="AA53" s="3"/>
      <c r="AB53" s="3"/>
      <c r="AC53" s="3"/>
      <c r="AD53" s="3"/>
    </row>
    <row r="54" spans="1:30" x14ac:dyDescent="0.25">
      <c r="A54" s="3"/>
      <c r="B54" s="371"/>
      <c r="C54" s="376" t="s">
        <v>97</v>
      </c>
      <c r="D54" s="131">
        <v>665.3</v>
      </c>
      <c r="E54" s="131">
        <v>502.1</v>
      </c>
      <c r="F54" s="131">
        <v>449.7</v>
      </c>
      <c r="G54" s="132">
        <f t="shared" si="23"/>
        <v>717.7</v>
      </c>
      <c r="H54" s="369"/>
      <c r="I54" s="3"/>
      <c r="J54" s="131">
        <v>717.7</v>
      </c>
      <c r="K54" s="131">
        <v>500</v>
      </c>
      <c r="L54" s="131">
        <v>500</v>
      </c>
      <c r="M54" s="132">
        <f t="shared" si="24"/>
        <v>717.7</v>
      </c>
      <c r="N54" s="3"/>
      <c r="O54" s="3"/>
      <c r="P54" s="131">
        <v>717.7</v>
      </c>
      <c r="Q54" s="131">
        <v>241.4</v>
      </c>
      <c r="R54" s="131">
        <v>207.7</v>
      </c>
      <c r="S54" s="132">
        <v>750</v>
      </c>
      <c r="T54" s="3"/>
      <c r="U54" s="3"/>
      <c r="V54" s="132">
        <v>750</v>
      </c>
      <c r="W54" s="131">
        <v>650</v>
      </c>
      <c r="X54" s="131">
        <v>500</v>
      </c>
      <c r="Y54" s="132">
        <f t="shared" si="25"/>
        <v>900</v>
      </c>
      <c r="Z54" s="3"/>
      <c r="AA54" s="3"/>
      <c r="AB54" s="3"/>
      <c r="AC54" s="3"/>
      <c r="AD54" s="3"/>
    </row>
    <row r="55" spans="1:30" ht="10.5" customHeight="1" x14ac:dyDescent="0.25">
      <c r="A55" s="3"/>
      <c r="B55" s="371"/>
      <c r="C55" s="370"/>
      <c r="D55" s="369"/>
      <c r="E55" s="369"/>
      <c r="F55" s="369"/>
      <c r="G55" s="369"/>
      <c r="H55" s="36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3"/>
      <c r="B56" s="371"/>
      <c r="C56" s="375" t="s">
        <v>98</v>
      </c>
      <c r="D56" s="374" t="s">
        <v>99</v>
      </c>
      <c r="E56" s="374" t="s">
        <v>100</v>
      </c>
      <c r="F56" s="369"/>
      <c r="G56" s="369"/>
      <c r="H56" s="369"/>
      <c r="I56" s="368"/>
      <c r="J56" s="374" t="s">
        <v>101</v>
      </c>
      <c r="K56" s="369"/>
      <c r="L56" s="369"/>
      <c r="M56" s="369"/>
      <c r="N56" s="369"/>
      <c r="O56" s="368"/>
      <c r="P56" s="374" t="s">
        <v>102</v>
      </c>
      <c r="Q56" s="368"/>
      <c r="R56" s="368"/>
      <c r="S56" s="368"/>
      <c r="T56" s="368"/>
      <c r="U56" s="368"/>
      <c r="V56" s="374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3"/>
      <c r="B57" s="371"/>
      <c r="C57" s="373"/>
      <c r="D57" s="372">
        <v>63</v>
      </c>
      <c r="E57" s="372">
        <v>64</v>
      </c>
      <c r="F57" s="369"/>
      <c r="G57" s="369"/>
      <c r="H57" s="369"/>
      <c r="I57" s="368"/>
      <c r="J57" s="372">
        <v>65</v>
      </c>
      <c r="K57" s="369"/>
      <c r="L57" s="369"/>
      <c r="M57" s="369"/>
      <c r="N57" s="369"/>
      <c r="O57" s="368"/>
      <c r="P57" s="372">
        <v>75.3</v>
      </c>
      <c r="Q57" s="368"/>
      <c r="R57" s="368"/>
      <c r="S57" s="368"/>
      <c r="T57" s="368"/>
      <c r="U57" s="368"/>
      <c r="V57" s="372">
        <v>85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3"/>
      <c r="B58" s="371"/>
      <c r="C58" s="370"/>
      <c r="D58" s="369"/>
      <c r="E58" s="369"/>
      <c r="F58" s="369"/>
      <c r="G58" s="369"/>
      <c r="H58" s="369"/>
      <c r="I58" s="368"/>
      <c r="J58" s="369"/>
      <c r="K58" s="369"/>
      <c r="L58" s="369"/>
      <c r="M58" s="369"/>
      <c r="N58" s="369"/>
      <c r="O58" s="368"/>
      <c r="P58" s="368"/>
      <c r="Q58" s="368"/>
      <c r="R58" s="368"/>
      <c r="S58" s="368"/>
      <c r="T58" s="368"/>
      <c r="U58" s="368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3"/>
      <c r="B59" s="367" t="s">
        <v>103</v>
      </c>
      <c r="C59" s="366"/>
      <c r="D59" s="876"/>
      <c r="E59" s="876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6"/>
      <c r="Q59" s="876"/>
      <c r="R59" s="876"/>
      <c r="S59" s="876"/>
      <c r="T59" s="876"/>
      <c r="U59" s="876"/>
      <c r="V59" s="365"/>
      <c r="W59" s="365"/>
      <c r="X59" s="365"/>
      <c r="Y59" s="365"/>
      <c r="Z59" s="365"/>
      <c r="AA59" s="365"/>
      <c r="AB59" s="364"/>
      <c r="AC59" s="3"/>
      <c r="AD59" s="3"/>
    </row>
    <row r="60" spans="1:30" x14ac:dyDescent="0.25">
      <c r="A60" s="3"/>
      <c r="B60" s="870" t="s">
        <v>157</v>
      </c>
      <c r="C60" s="868"/>
      <c r="D60" s="868"/>
      <c r="E60" s="868"/>
      <c r="F60" s="868"/>
      <c r="G60" s="868"/>
      <c r="H60" s="868"/>
      <c r="I60" s="868"/>
      <c r="J60" s="868"/>
      <c r="K60" s="868"/>
      <c r="L60" s="868"/>
      <c r="M60" s="868"/>
      <c r="N60" s="868"/>
      <c r="O60" s="868"/>
      <c r="P60" s="868"/>
      <c r="Q60" s="868"/>
      <c r="R60" s="868"/>
      <c r="S60" s="868"/>
      <c r="T60" s="868"/>
      <c r="U60" s="868"/>
      <c r="AB60" s="357"/>
      <c r="AC60" s="3"/>
      <c r="AD60" s="3"/>
    </row>
    <row r="61" spans="1:30" x14ac:dyDescent="0.25">
      <c r="A61" s="3"/>
      <c r="B61" s="870" t="s">
        <v>158</v>
      </c>
      <c r="C61" s="868"/>
      <c r="D61" s="868"/>
      <c r="E61" s="868"/>
      <c r="F61" s="868"/>
      <c r="G61" s="868"/>
      <c r="H61" s="868"/>
      <c r="I61" s="868"/>
      <c r="J61" s="868"/>
      <c r="K61" s="868"/>
      <c r="L61" s="868"/>
      <c r="M61" s="868"/>
      <c r="N61" s="868"/>
      <c r="O61" s="868"/>
      <c r="P61" s="868"/>
      <c r="Q61" s="868"/>
      <c r="R61" s="868"/>
      <c r="S61" s="868"/>
      <c r="T61" s="868"/>
      <c r="U61" s="868"/>
      <c r="AB61" s="357"/>
      <c r="AC61" s="3"/>
      <c r="AD61" s="3"/>
    </row>
    <row r="62" spans="1:30" x14ac:dyDescent="0.25">
      <c r="A62" s="3"/>
      <c r="B62" s="870" t="s">
        <v>159</v>
      </c>
      <c r="C62" s="868"/>
      <c r="D62" s="868"/>
      <c r="E62" s="868"/>
      <c r="F62" s="868"/>
      <c r="G62" s="868"/>
      <c r="H62" s="868"/>
      <c r="I62" s="868"/>
      <c r="J62" s="868"/>
      <c r="K62" s="868"/>
      <c r="L62" s="868"/>
      <c r="M62" s="868"/>
      <c r="N62" s="868"/>
      <c r="O62" s="868"/>
      <c r="P62" s="868"/>
      <c r="Q62" s="868"/>
      <c r="R62" s="868"/>
      <c r="S62" s="868"/>
      <c r="T62" s="868"/>
      <c r="U62" s="868"/>
      <c r="AB62" s="357"/>
      <c r="AC62" s="3"/>
      <c r="AD62" s="3"/>
    </row>
    <row r="63" spans="1:30" x14ac:dyDescent="0.25">
      <c r="A63" s="3"/>
      <c r="B63" s="362" t="s">
        <v>160</v>
      </c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AB63" s="357"/>
      <c r="AC63" s="3"/>
      <c r="AD63" s="3"/>
    </row>
    <row r="64" spans="1:30" x14ac:dyDescent="0.25">
      <c r="A64" s="3"/>
      <c r="B64" s="362" t="s">
        <v>161</v>
      </c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AB64" s="357"/>
      <c r="AC64" s="3"/>
      <c r="AD64" s="3"/>
    </row>
    <row r="65" spans="1:30" x14ac:dyDescent="0.25">
      <c r="A65" s="3"/>
      <c r="B65" s="362" t="s">
        <v>162</v>
      </c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AB65" s="357"/>
      <c r="AC65" s="3"/>
      <c r="AD65" s="3"/>
    </row>
    <row r="66" spans="1:30" x14ac:dyDescent="0.25">
      <c r="A66" s="3"/>
      <c r="B66" s="362" t="s">
        <v>163</v>
      </c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AB66" s="357"/>
      <c r="AC66" s="3"/>
      <c r="AD66" s="3"/>
    </row>
    <row r="67" spans="1:30" x14ac:dyDescent="0.25">
      <c r="A67" s="3"/>
      <c r="B67" s="362" t="s">
        <v>164</v>
      </c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AB67" s="357"/>
      <c r="AC67" s="3"/>
      <c r="AD67" s="3"/>
    </row>
    <row r="68" spans="1:30" x14ac:dyDescent="0.25">
      <c r="A68" s="3"/>
      <c r="B68" s="362" t="s">
        <v>165</v>
      </c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AB68" s="357"/>
      <c r="AC68" s="3"/>
      <c r="AD68" s="3"/>
    </row>
    <row r="69" spans="1:30" x14ac:dyDescent="0.25">
      <c r="A69" s="3"/>
      <c r="B69" s="362" t="s">
        <v>166</v>
      </c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AB69" s="357"/>
      <c r="AC69" s="3"/>
      <c r="AD69" s="3"/>
    </row>
    <row r="70" spans="1:30" x14ac:dyDescent="0.25">
      <c r="A70" s="3"/>
      <c r="B70" s="362" t="s">
        <v>167</v>
      </c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AB70" s="357"/>
      <c r="AC70" s="3"/>
      <c r="AD70" s="3"/>
    </row>
    <row r="71" spans="1:30" x14ac:dyDescent="0.25">
      <c r="A71" s="3"/>
      <c r="B71" s="362" t="s">
        <v>168</v>
      </c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AB71" s="357"/>
      <c r="AC71" s="3"/>
      <c r="AD71" s="3"/>
    </row>
    <row r="72" spans="1:30" x14ac:dyDescent="0.25">
      <c r="A72" s="3"/>
      <c r="B72" s="362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AB72" s="357"/>
      <c r="AC72" s="3"/>
      <c r="AD72" s="3"/>
    </row>
    <row r="73" spans="1:30" x14ac:dyDescent="0.25">
      <c r="A73" s="3"/>
      <c r="B73" s="362" t="s">
        <v>169</v>
      </c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AB73" s="357"/>
      <c r="AC73" s="3"/>
      <c r="AD73" s="3"/>
    </row>
    <row r="74" spans="1:30" x14ac:dyDescent="0.25">
      <c r="A74" s="3"/>
      <c r="B74" s="362" t="s">
        <v>170</v>
      </c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AB74" s="357"/>
      <c r="AC74" s="3"/>
      <c r="AD74" s="3"/>
    </row>
    <row r="75" spans="1:30" x14ac:dyDescent="0.25">
      <c r="A75" s="3"/>
      <c r="B75" s="362" t="s">
        <v>171</v>
      </c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AB75" s="357"/>
      <c r="AC75" s="3"/>
      <c r="AD75" s="3"/>
    </row>
    <row r="76" spans="1:30" x14ac:dyDescent="0.25">
      <c r="A76" s="3"/>
      <c r="B76" s="870" t="s">
        <v>172</v>
      </c>
      <c r="C76" s="868"/>
      <c r="D76" s="868"/>
      <c r="E76" s="868"/>
      <c r="F76" s="868"/>
      <c r="G76" s="868"/>
      <c r="H76" s="868"/>
      <c r="I76" s="868"/>
      <c r="J76" s="868"/>
      <c r="K76" s="868"/>
      <c r="L76" s="868"/>
      <c r="M76" s="868"/>
      <c r="N76" s="868"/>
      <c r="O76" s="868"/>
      <c r="P76" s="868"/>
      <c r="Q76" s="868"/>
      <c r="R76" s="868"/>
      <c r="S76" s="868"/>
      <c r="T76" s="868"/>
      <c r="U76" s="868"/>
      <c r="AB76" s="357"/>
      <c r="AC76" s="3"/>
      <c r="AD76" s="3"/>
    </row>
    <row r="77" spans="1:30" x14ac:dyDescent="0.25">
      <c r="A77" s="3"/>
      <c r="B77" s="488" t="s">
        <v>173</v>
      </c>
      <c r="C77" s="489"/>
      <c r="D77" s="490"/>
      <c r="E77" s="490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AB77" s="357"/>
      <c r="AC77" s="3"/>
      <c r="AD77" s="3"/>
    </row>
    <row r="78" spans="1:30" x14ac:dyDescent="0.25">
      <c r="A78" s="3"/>
      <c r="B78" s="488"/>
      <c r="C78" s="489"/>
      <c r="D78" s="490"/>
      <c r="E78" s="490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AB78" s="357"/>
      <c r="AC78" s="3"/>
      <c r="AD78" s="3"/>
    </row>
    <row r="79" spans="1:30" x14ac:dyDescent="0.25">
      <c r="A79" s="3"/>
      <c r="B79" s="488" t="s">
        <v>174</v>
      </c>
      <c r="C79" s="491"/>
      <c r="D79" s="491"/>
      <c r="E79" s="491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AB79" s="357"/>
      <c r="AC79" s="3"/>
      <c r="AD79" s="3"/>
    </row>
    <row r="80" spans="1:30" s="489" customFormat="1" x14ac:dyDescent="0.25">
      <c r="A80" s="370"/>
      <c r="B80" s="488" t="s">
        <v>175</v>
      </c>
      <c r="C80" s="492"/>
      <c r="D80" s="493"/>
      <c r="E80" s="493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AB80" s="494"/>
      <c r="AC80" s="370"/>
      <c r="AD80" s="370"/>
    </row>
    <row r="81" spans="1:30" x14ac:dyDescent="0.25">
      <c r="A81" s="3"/>
      <c r="B81" s="495" t="s">
        <v>176</v>
      </c>
      <c r="C81" s="496"/>
      <c r="D81" s="497"/>
      <c r="E81" s="497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3"/>
      <c r="U81" s="353"/>
      <c r="V81" s="352"/>
      <c r="W81" s="352"/>
      <c r="X81" s="352"/>
      <c r="Y81" s="352"/>
      <c r="Z81" s="352"/>
      <c r="AA81" s="352"/>
      <c r="AB81" s="351"/>
      <c r="AC81" s="3"/>
      <c r="AD81" s="3"/>
    </row>
    <row r="82" spans="1:30" x14ac:dyDescent="0.25">
      <c r="A82" s="3"/>
      <c r="B82" s="349"/>
      <c r="C82" s="350"/>
      <c r="D82" s="349"/>
      <c r="E82" s="349"/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48"/>
      <c r="U82" s="348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25">
      <c r="A83" s="3"/>
      <c r="B83" s="349"/>
      <c r="C83" s="350"/>
      <c r="D83" s="349"/>
      <c r="E83" s="349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8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25">
      <c r="A84" s="3"/>
      <c r="B84" s="344"/>
      <c r="C84" s="344"/>
      <c r="D84" s="344"/>
      <c r="E84" s="344"/>
      <c r="F84" s="344"/>
      <c r="G84" s="344"/>
      <c r="H84" s="344"/>
      <c r="I84" s="344"/>
      <c r="J84" s="344"/>
      <c r="K84" s="344"/>
      <c r="L84" s="344"/>
      <c r="M84" s="344"/>
      <c r="N84" s="344"/>
      <c r="O84" s="344"/>
      <c r="P84" s="344"/>
      <c r="Q84" s="344"/>
      <c r="R84" s="344"/>
      <c r="S84" s="344"/>
      <c r="T84" s="344"/>
      <c r="U84" s="344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25">
      <c r="A85" s="3"/>
      <c r="B85" s="344" t="s">
        <v>109</v>
      </c>
      <c r="C85" s="347">
        <v>44800</v>
      </c>
      <c r="D85" s="344" t="s">
        <v>110</v>
      </c>
      <c r="E85" s="868" t="s">
        <v>177</v>
      </c>
      <c r="F85" s="868"/>
      <c r="G85" s="868"/>
      <c r="H85" s="344"/>
      <c r="I85" s="344" t="s">
        <v>112</v>
      </c>
      <c r="J85" s="869" t="s">
        <v>178</v>
      </c>
      <c r="K85" s="869"/>
      <c r="L85" s="869"/>
      <c r="M85" s="869"/>
      <c r="N85" s="344"/>
      <c r="O85" s="344"/>
      <c r="P85" s="344"/>
      <c r="Q85" s="344"/>
      <c r="R85" s="344"/>
      <c r="S85" s="344"/>
      <c r="T85" s="344"/>
      <c r="U85" s="344"/>
      <c r="V85" s="3"/>
      <c r="W85" s="3"/>
      <c r="X85" s="3"/>
      <c r="Y85" s="3"/>
      <c r="Z85" s="3"/>
      <c r="AA85" s="3"/>
      <c r="AB85" s="3"/>
      <c r="AC85" s="3"/>
      <c r="AD85" s="3"/>
    </row>
    <row r="86" spans="1:30" ht="7.5" customHeight="1" x14ac:dyDescent="0.25">
      <c r="A86" s="3"/>
      <c r="B86" s="344"/>
      <c r="C86" s="344"/>
      <c r="D86" s="344"/>
      <c r="E86" s="344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4"/>
      <c r="R86" s="344"/>
      <c r="S86" s="344"/>
      <c r="T86" s="344"/>
      <c r="U86" s="344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25">
      <c r="A87" s="3"/>
      <c r="B87" s="344"/>
      <c r="C87" s="344"/>
      <c r="D87" s="344" t="s">
        <v>114</v>
      </c>
      <c r="E87" s="346"/>
      <c r="F87" s="346"/>
      <c r="G87" s="346"/>
      <c r="H87" s="344"/>
      <c r="I87" s="344" t="s">
        <v>114</v>
      </c>
      <c r="J87" s="345"/>
      <c r="K87" s="345"/>
      <c r="L87" s="345"/>
      <c r="M87" s="345"/>
      <c r="N87" s="344"/>
      <c r="O87" s="344"/>
      <c r="P87" s="344"/>
      <c r="Q87" s="344"/>
      <c r="R87" s="344"/>
      <c r="S87" s="344"/>
      <c r="T87" s="344"/>
      <c r="U87" s="344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25">
      <c r="A88" s="3"/>
      <c r="B88" s="344"/>
      <c r="C88" s="344"/>
      <c r="D88" s="344"/>
      <c r="E88" s="346"/>
      <c r="F88" s="346"/>
      <c r="G88" s="346"/>
      <c r="H88" s="344"/>
      <c r="I88" s="344"/>
      <c r="J88" s="345"/>
      <c r="K88" s="345"/>
      <c r="L88" s="345"/>
      <c r="M88" s="345"/>
      <c r="N88" s="344"/>
      <c r="O88" s="344"/>
      <c r="P88" s="344"/>
      <c r="Q88" s="344"/>
      <c r="R88" s="344"/>
      <c r="S88" s="344"/>
      <c r="T88" s="344"/>
      <c r="U88" s="344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3"/>
      <c r="B89" s="344"/>
      <c r="C89" s="344"/>
      <c r="D89" s="344"/>
      <c r="E89" s="344"/>
      <c r="F89" s="344"/>
      <c r="G89" s="344"/>
      <c r="H89" s="344"/>
      <c r="I89" s="344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3"/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4"/>
      <c r="O90" s="344"/>
      <c r="P90" s="344"/>
      <c r="Q90" s="344"/>
      <c r="R90" s="344"/>
      <c r="S90" s="344"/>
      <c r="T90" s="344"/>
      <c r="U90" s="344"/>
      <c r="V90" s="3"/>
      <c r="W90" s="3"/>
      <c r="X90" s="3"/>
      <c r="Y90" s="3"/>
      <c r="Z90" s="3"/>
      <c r="AA90" s="3"/>
      <c r="AB90" s="3"/>
      <c r="AC90" s="3"/>
      <c r="AD90" s="3"/>
    </row>
    <row r="92" spans="1:30" x14ac:dyDescent="0.25"/>
    <row r="93" spans="1:30" x14ac:dyDescent="0.25"/>
    <row r="94" spans="1:30" x14ac:dyDescent="0.25"/>
    <row r="95" spans="1:30" x14ac:dyDescent="0.25">
      <c r="M95"/>
    </row>
    <row r="96" spans="1:30" x14ac:dyDescent="0.25"/>
    <row r="107" spans="13:13" ht="15" hidden="1" customHeight="1" x14ac:dyDescent="0.25">
      <c r="M107"/>
    </row>
    <row r="110" spans="13:13" x14ac:dyDescent="0.25">
      <c r="M110"/>
    </row>
    <row r="111" spans="13:13" x14ac:dyDescent="0.25"/>
    <row r="121" customFormat="1" ht="15" hidden="1" customHeight="1" x14ac:dyDescent="0.25"/>
    <row r="122" customFormat="1" ht="15" hidden="1" customHeight="1" x14ac:dyDescent="0.25"/>
    <row r="123" customFormat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0:U60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1:U61"/>
    <mergeCell ref="B62:U62"/>
    <mergeCell ref="B76:U76"/>
    <mergeCell ref="E85:G85"/>
    <mergeCell ref="J85:M85"/>
  </mergeCells>
  <conditionalFormatting sqref="AB15:AB25">
    <cfRule type="cellIs" dxfId="55" priority="3" operator="equal">
      <formula>0</formula>
    </cfRule>
    <cfRule type="containsErrors" dxfId="54" priority="4">
      <formula>ISERROR(AB15)</formula>
    </cfRule>
  </conditionalFormatting>
  <conditionalFormatting sqref="AB28:AB41">
    <cfRule type="cellIs" dxfId="53" priority="1" operator="equal">
      <formula>0</formula>
    </cfRule>
    <cfRule type="containsErrors" dxfId="52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view="pageBreakPreview" zoomScale="80" zoomScaleNormal="80" zoomScaleSheetLayoutView="80" workbookViewId="0">
      <selection activeCell="E14" sqref="E1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4.140625" customWidth="1"/>
    <col min="9" max="9" width="11.28515625" customWidth="1"/>
    <col min="10" max="10" width="16.140625" customWidth="1"/>
    <col min="11" max="11" width="17.85546875" customWidth="1"/>
    <col min="12" max="12" width="13.7109375" customWidth="1"/>
    <col min="13" max="13" width="23.42578125" style="159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179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46789677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27" t="s">
        <v>180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138</v>
      </c>
      <c r="K10" s="883"/>
      <c r="L10" s="883"/>
      <c r="M10" s="883"/>
      <c r="N10" s="883"/>
      <c r="O10" s="884"/>
      <c r="P10" s="882" t="s">
        <v>10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890"/>
      <c r="H14" s="892"/>
      <c r="I14" s="912"/>
      <c r="J14" s="11" t="s">
        <v>20</v>
      </c>
      <c r="K14" s="12" t="s">
        <v>21</v>
      </c>
      <c r="L14" s="12" t="s">
        <v>22</v>
      </c>
      <c r="M14" s="890"/>
      <c r="N14" s="892"/>
      <c r="O14" s="912"/>
      <c r="P14" s="11" t="s">
        <v>20</v>
      </c>
      <c r="Q14" s="12" t="s">
        <v>21</v>
      </c>
      <c r="R14" s="12" t="s">
        <v>22</v>
      </c>
      <c r="S14" s="890"/>
      <c r="T14" s="892"/>
      <c r="U14" s="912"/>
      <c r="V14" s="11" t="s">
        <v>20</v>
      </c>
      <c r="W14" s="12" t="s">
        <v>21</v>
      </c>
      <c r="X14" s="12" t="s">
        <v>22</v>
      </c>
      <c r="Y14" s="890"/>
      <c r="Z14" s="892"/>
      <c r="AA14" s="912"/>
      <c r="AB14" s="902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1250.8</v>
      </c>
      <c r="G15" s="18">
        <f>SUM(D15:F15)</f>
        <v>1250.8</v>
      </c>
      <c r="H15" s="19">
        <v>3</v>
      </c>
      <c r="I15" s="20">
        <f>G15+H15</f>
        <v>1253.8</v>
      </c>
      <c r="J15" s="15"/>
      <c r="K15" s="16"/>
      <c r="L15" s="17">
        <v>1800</v>
      </c>
      <c r="M15" s="18">
        <f t="shared" ref="M15:M23" si="0">SUM(J15:L15)</f>
        <v>1800</v>
      </c>
      <c r="N15" s="19">
        <v>0</v>
      </c>
      <c r="O15" s="20">
        <f>M15+N15</f>
        <v>1800</v>
      </c>
      <c r="P15" s="15"/>
      <c r="Q15" s="16"/>
      <c r="R15" s="17">
        <v>1301.2</v>
      </c>
      <c r="S15" s="18">
        <f>SUM(P15:R15)</f>
        <v>1301.2</v>
      </c>
      <c r="T15" s="19">
        <v>5.5</v>
      </c>
      <c r="U15" s="20">
        <f>S15+T15</f>
        <v>1306.7</v>
      </c>
      <c r="V15" s="15"/>
      <c r="W15" s="16"/>
      <c r="X15" s="17">
        <v>2200</v>
      </c>
      <c r="Y15" s="18">
        <f>SUM(V15:X15)</f>
        <v>2200</v>
      </c>
      <c r="Z15" s="19">
        <v>0</v>
      </c>
      <c r="AA15" s="20">
        <f>Y15+Z15</f>
        <v>2200</v>
      </c>
      <c r="AB15" s="21">
        <f>(AA15/O15)</f>
        <v>1.2222222222222223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6375.9</v>
      </c>
      <c r="E16" s="25"/>
      <c r="F16" s="25"/>
      <c r="G16" s="26">
        <f t="shared" ref="G16:G23" si="1">SUM(D16:F16)</f>
        <v>6375.9</v>
      </c>
      <c r="H16" s="27"/>
      <c r="I16" s="20">
        <f t="shared" ref="I16:I23" si="2">G16+H16</f>
        <v>6375.9</v>
      </c>
      <c r="J16" s="24">
        <v>6810</v>
      </c>
      <c r="K16" s="25"/>
      <c r="L16" s="25"/>
      <c r="M16" s="26">
        <f t="shared" si="0"/>
        <v>6810</v>
      </c>
      <c r="N16" s="27"/>
      <c r="O16" s="20">
        <f t="shared" ref="O16:O20" si="3">M16+N16</f>
        <v>6810</v>
      </c>
      <c r="P16" s="24">
        <v>3710</v>
      </c>
      <c r="Q16" s="25"/>
      <c r="R16" s="25"/>
      <c r="S16" s="26">
        <f t="shared" ref="S16:S23" si="4">SUM(P16:R16)</f>
        <v>3710</v>
      </c>
      <c r="T16" s="27"/>
      <c r="U16" s="20">
        <f t="shared" ref="U16:U20" si="5">S16+T16</f>
        <v>3710</v>
      </c>
      <c r="V16" s="24">
        <f>8759-900</f>
        <v>7859</v>
      </c>
      <c r="W16" s="25"/>
      <c r="X16" s="25"/>
      <c r="Y16" s="26">
        <f t="shared" ref="Y16:Y23" si="6">SUM(V16:X16)</f>
        <v>7859</v>
      </c>
      <c r="Z16" s="27"/>
      <c r="AA16" s="20">
        <f t="shared" ref="AA16:AA20" si="7">Y16+Z16</f>
        <v>7859</v>
      </c>
      <c r="AB16" s="21">
        <f t="shared" ref="AB16:AB24" si="8">(AA16/O16)</f>
        <v>1.1540381791483114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893.2</v>
      </c>
      <c r="E17" s="30"/>
      <c r="F17" s="30"/>
      <c r="G17" s="26">
        <f t="shared" si="1"/>
        <v>893.2</v>
      </c>
      <c r="H17" s="31"/>
      <c r="I17" s="20">
        <f t="shared" si="2"/>
        <v>893.2</v>
      </c>
      <c r="J17" s="29">
        <f>574.9+1318.8</f>
        <v>1893.6999999999998</v>
      </c>
      <c r="K17" s="30"/>
      <c r="L17" s="30"/>
      <c r="M17" s="26">
        <f t="shared" si="0"/>
        <v>1893.6999999999998</v>
      </c>
      <c r="N17" s="31"/>
      <c r="O17" s="20">
        <f t="shared" si="3"/>
        <v>1893.6999999999998</v>
      </c>
      <c r="P17" s="29">
        <v>423.5</v>
      </c>
      <c r="Q17" s="30"/>
      <c r="R17" s="30"/>
      <c r="S17" s="26">
        <f t="shared" si="4"/>
        <v>423.5</v>
      </c>
      <c r="T17" s="31"/>
      <c r="U17" s="20">
        <f t="shared" si="5"/>
        <v>423.5</v>
      </c>
      <c r="V17" s="29">
        <f>194.9+233.1+45.1+50</f>
        <v>523.1</v>
      </c>
      <c r="W17" s="30"/>
      <c r="X17" s="30"/>
      <c r="Y17" s="26">
        <f t="shared" si="6"/>
        <v>523.1</v>
      </c>
      <c r="Z17" s="31"/>
      <c r="AA17" s="20">
        <f t="shared" si="7"/>
        <v>523.1</v>
      </c>
      <c r="AB17" s="21">
        <f t="shared" si="8"/>
        <v>0.27623171568886312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56612.2</v>
      </c>
      <c r="F18" s="30"/>
      <c r="G18" s="26">
        <f t="shared" si="1"/>
        <v>56612.2</v>
      </c>
      <c r="H18" s="19"/>
      <c r="I18" s="20">
        <f t="shared" si="2"/>
        <v>56612.2</v>
      </c>
      <c r="J18" s="33"/>
      <c r="K18" s="34">
        <v>57657.7</v>
      </c>
      <c r="L18" s="30"/>
      <c r="M18" s="26">
        <f t="shared" si="0"/>
        <v>57657.7</v>
      </c>
      <c r="N18" s="19"/>
      <c r="O18" s="20">
        <f t="shared" si="3"/>
        <v>57657.7</v>
      </c>
      <c r="P18" s="33"/>
      <c r="Q18" s="34">
        <v>27540.7</v>
      </c>
      <c r="R18" s="30"/>
      <c r="S18" s="26">
        <f t="shared" si="4"/>
        <v>27540.7</v>
      </c>
      <c r="T18" s="19"/>
      <c r="U18" s="20">
        <f t="shared" si="5"/>
        <v>27540.7</v>
      </c>
      <c r="V18" s="33"/>
      <c r="W18" s="34">
        <v>61581</v>
      </c>
      <c r="X18" s="30"/>
      <c r="Y18" s="26">
        <f t="shared" si="6"/>
        <v>61581</v>
      </c>
      <c r="Z18" s="19"/>
      <c r="AA18" s="20">
        <f t="shared" si="7"/>
        <v>61581</v>
      </c>
      <c r="AB18" s="21">
        <f t="shared" si="8"/>
        <v>1.0680446844046849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>
        <v>895.5</v>
      </c>
      <c r="G19" s="26">
        <f t="shared" si="1"/>
        <v>895.5</v>
      </c>
      <c r="H19" s="38"/>
      <c r="I19" s="20">
        <f t="shared" si="2"/>
        <v>895.5</v>
      </c>
      <c r="J19" s="36"/>
      <c r="K19" s="30"/>
      <c r="L19" s="37">
        <v>895.5</v>
      </c>
      <c r="M19" s="26">
        <f t="shared" si="0"/>
        <v>895.5</v>
      </c>
      <c r="N19" s="38"/>
      <c r="O19" s="20">
        <f t="shared" si="3"/>
        <v>895.5</v>
      </c>
      <c r="P19" s="36"/>
      <c r="Q19" s="30"/>
      <c r="R19" s="37">
        <v>447.8</v>
      </c>
      <c r="S19" s="26">
        <f t="shared" si="4"/>
        <v>447.8</v>
      </c>
      <c r="T19" s="38"/>
      <c r="U19" s="20">
        <f t="shared" si="5"/>
        <v>447.8</v>
      </c>
      <c r="V19" s="36"/>
      <c r="W19" s="30"/>
      <c r="X19" s="37">
        <v>895.5</v>
      </c>
      <c r="Y19" s="26">
        <f t="shared" si="6"/>
        <v>895.5</v>
      </c>
      <c r="Z19" s="38"/>
      <c r="AA19" s="20">
        <f t="shared" si="7"/>
        <v>895.5</v>
      </c>
      <c r="AB19" s="21">
        <f t="shared" si="8"/>
        <v>1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269.8</v>
      </c>
      <c r="G20" s="26">
        <f t="shared" si="1"/>
        <v>269.8</v>
      </c>
      <c r="H20" s="38"/>
      <c r="I20" s="20">
        <f t="shared" si="2"/>
        <v>269.8</v>
      </c>
      <c r="J20" s="33"/>
      <c r="K20" s="25"/>
      <c r="L20" s="40">
        <v>80</v>
      </c>
      <c r="M20" s="26">
        <f t="shared" si="0"/>
        <v>80</v>
      </c>
      <c r="N20" s="38"/>
      <c r="O20" s="20">
        <f t="shared" si="3"/>
        <v>80</v>
      </c>
      <c r="P20" s="33"/>
      <c r="Q20" s="25"/>
      <c r="R20" s="40">
        <v>139.80000000000001</v>
      </c>
      <c r="S20" s="26">
        <f t="shared" si="4"/>
        <v>139.80000000000001</v>
      </c>
      <c r="T20" s="38"/>
      <c r="U20" s="20">
        <f t="shared" si="5"/>
        <v>139.80000000000001</v>
      </c>
      <c r="V20" s="33"/>
      <c r="W20" s="25"/>
      <c r="X20" s="40">
        <v>160</v>
      </c>
      <c r="Y20" s="26">
        <f t="shared" si="6"/>
        <v>160</v>
      </c>
      <c r="Z20" s="38"/>
      <c r="AA20" s="20">
        <f t="shared" si="7"/>
        <v>160</v>
      </c>
      <c r="AB20" s="21">
        <f t="shared" si="8"/>
        <v>2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529.29999999999995</v>
      </c>
      <c r="G21" s="26">
        <f t="shared" si="1"/>
        <v>529.29999999999995</v>
      </c>
      <c r="H21" s="42">
        <v>140.5</v>
      </c>
      <c r="I21" s="20">
        <f>G21+H21</f>
        <v>669.8</v>
      </c>
      <c r="J21" s="33"/>
      <c r="K21" s="25"/>
      <c r="L21" s="40">
        <v>35</v>
      </c>
      <c r="M21" s="26">
        <f t="shared" si="0"/>
        <v>35</v>
      </c>
      <c r="N21" s="42">
        <v>120</v>
      </c>
      <c r="O21" s="20">
        <f>M21+N21</f>
        <v>155</v>
      </c>
      <c r="P21" s="33"/>
      <c r="Q21" s="25"/>
      <c r="R21" s="40">
        <v>139.6</v>
      </c>
      <c r="S21" s="26">
        <f t="shared" si="4"/>
        <v>139.6</v>
      </c>
      <c r="T21" s="42">
        <v>122.5</v>
      </c>
      <c r="U21" s="20">
        <f>S21+T21</f>
        <v>262.10000000000002</v>
      </c>
      <c r="V21" s="33"/>
      <c r="W21" s="25"/>
      <c r="X21" s="40">
        <v>140</v>
      </c>
      <c r="Y21" s="26">
        <f t="shared" si="6"/>
        <v>140</v>
      </c>
      <c r="Z21" s="42">
        <v>150</v>
      </c>
      <c r="AA21" s="20">
        <f>Y21+Z21</f>
        <v>290</v>
      </c>
      <c r="AB21" s="21">
        <f t="shared" si="8"/>
        <v>1.8709677419354838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>
        <v>140.5</v>
      </c>
      <c r="I22" s="20">
        <f t="shared" si="2"/>
        <v>140.5</v>
      </c>
      <c r="J22" s="33"/>
      <c r="K22" s="25"/>
      <c r="L22" s="40"/>
      <c r="M22" s="26">
        <f t="shared" si="0"/>
        <v>0</v>
      </c>
      <c r="N22" s="42">
        <v>120</v>
      </c>
      <c r="O22" s="20">
        <f t="shared" ref="O22:O23" si="9">M22+N22</f>
        <v>120</v>
      </c>
      <c r="P22" s="33"/>
      <c r="Q22" s="25"/>
      <c r="R22" s="40"/>
      <c r="S22" s="26">
        <f t="shared" si="4"/>
        <v>0</v>
      </c>
      <c r="T22" s="42">
        <v>122.5</v>
      </c>
      <c r="U22" s="20">
        <f t="shared" ref="U22:U23" si="10">S22+T22</f>
        <v>122.5</v>
      </c>
      <c r="V22" s="33"/>
      <c r="W22" s="25"/>
      <c r="X22" s="40"/>
      <c r="Y22" s="26">
        <f t="shared" si="6"/>
        <v>0</v>
      </c>
      <c r="Z22" s="42">
        <v>150</v>
      </c>
      <c r="AA22" s="20">
        <f t="shared" ref="AA22:AA23" si="11">Y22+Z22</f>
        <v>150</v>
      </c>
      <c r="AB22" s="21">
        <f t="shared" si="8"/>
        <v>1.25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4"/>
        <v>0</v>
      </c>
      <c r="T23" s="49"/>
      <c r="U23" s="50">
        <f t="shared" si="10"/>
        <v>0</v>
      </c>
      <c r="V23" s="45"/>
      <c r="W23" s="46"/>
      <c r="X23" s="47"/>
      <c r="Y23" s="48">
        <f t="shared" si="6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7269.0999999999995</v>
      </c>
      <c r="E24" s="55">
        <f>SUM(E15:E21)</f>
        <v>56612.2</v>
      </c>
      <c r="F24" s="55">
        <f>SUM(F15:F21)</f>
        <v>2945.4000000000005</v>
      </c>
      <c r="G24" s="56">
        <f>SUM(D24:F24)</f>
        <v>66826.7</v>
      </c>
      <c r="H24" s="57">
        <f>SUM(H15:H21)</f>
        <v>143.5</v>
      </c>
      <c r="I24" s="57">
        <f>SUM(I15:I21)</f>
        <v>66970.200000000012</v>
      </c>
      <c r="J24" s="54">
        <f>SUM(J15:J21)</f>
        <v>8703.7000000000007</v>
      </c>
      <c r="K24" s="55">
        <f>SUM(K15:K21)</f>
        <v>57657.7</v>
      </c>
      <c r="L24" s="55">
        <f>SUM(L15:L21)</f>
        <v>2810.5</v>
      </c>
      <c r="M24" s="56">
        <f>SUM(J24:L24)</f>
        <v>69171.899999999994</v>
      </c>
      <c r="N24" s="57">
        <f>SUM(N15:N21)</f>
        <v>120</v>
      </c>
      <c r="O24" s="57">
        <f>SUM(O15:O21)</f>
        <v>69291.899999999994</v>
      </c>
      <c r="P24" s="54">
        <f>SUM(P15:P21)</f>
        <v>4133.5</v>
      </c>
      <c r="Q24" s="55">
        <f>SUM(Q15:Q21)</f>
        <v>27540.7</v>
      </c>
      <c r="R24" s="55">
        <f>SUM(R15:R21)</f>
        <v>2028.3999999999999</v>
      </c>
      <c r="S24" s="56">
        <f>SUM(P24:R24)</f>
        <v>33702.6</v>
      </c>
      <c r="T24" s="57">
        <f>SUM(T15:T21)</f>
        <v>128</v>
      </c>
      <c r="U24" s="57">
        <f>SUM(U15:U21)</f>
        <v>33830.600000000006</v>
      </c>
      <c r="V24" s="54">
        <f>SUM(V15:V21)</f>
        <v>8382.1</v>
      </c>
      <c r="W24" s="55">
        <f>SUM(W15:W21)</f>
        <v>61581</v>
      </c>
      <c r="X24" s="55">
        <f>SUM(X15:X21)</f>
        <v>3395.5</v>
      </c>
      <c r="Y24" s="56">
        <f>SUM(V24:X24)</f>
        <v>73358.600000000006</v>
      </c>
      <c r="Z24" s="57">
        <f>SUM(Z15:Z21)</f>
        <v>150</v>
      </c>
      <c r="AA24" s="57">
        <f>SUM(AA15:AA21)</f>
        <v>73508.600000000006</v>
      </c>
      <c r="AB24" s="58">
        <f t="shared" si="8"/>
        <v>1.0608541546703152</v>
      </c>
      <c r="AC24" s="3"/>
      <c r="AD24" s="3"/>
    </row>
    <row r="25" spans="1:30" ht="15.75" customHeight="1" thickBot="1" x14ac:dyDescent="0.3">
      <c r="A25" s="1"/>
      <c r="B25" s="59"/>
      <c r="C25" s="60"/>
      <c r="D25" s="885" t="s">
        <v>43</v>
      </c>
      <c r="E25" s="886"/>
      <c r="F25" s="886"/>
      <c r="G25" s="887"/>
      <c r="H25" s="887"/>
      <c r="I25" s="888"/>
      <c r="J25" s="885" t="s">
        <v>43</v>
      </c>
      <c r="K25" s="886"/>
      <c r="L25" s="886"/>
      <c r="M25" s="887"/>
      <c r="N25" s="887"/>
      <c r="O25" s="888"/>
      <c r="P25" s="885" t="s">
        <v>43</v>
      </c>
      <c r="Q25" s="886"/>
      <c r="R25" s="886"/>
      <c r="S25" s="887"/>
      <c r="T25" s="887"/>
      <c r="U25" s="888"/>
      <c r="V25" s="885" t="s">
        <v>43</v>
      </c>
      <c r="W25" s="886"/>
      <c r="X25" s="886"/>
      <c r="Y25" s="887"/>
      <c r="Z25" s="887"/>
      <c r="AA25" s="888"/>
      <c r="AB25" s="893" t="s">
        <v>12</v>
      </c>
      <c r="AC25" s="3"/>
      <c r="AD25" s="3"/>
    </row>
    <row r="26" spans="1:30" ht="15.75" thickBot="1" x14ac:dyDescent="0.3">
      <c r="A26" s="1"/>
      <c r="B26" s="932" t="s">
        <v>6</v>
      </c>
      <c r="C26" s="917" t="s">
        <v>7</v>
      </c>
      <c r="D26" s="896" t="s">
        <v>44</v>
      </c>
      <c r="E26" s="897"/>
      <c r="F26" s="897"/>
      <c r="G26" s="913" t="s">
        <v>45</v>
      </c>
      <c r="H26" s="915" t="s">
        <v>46</v>
      </c>
      <c r="I26" s="898" t="s">
        <v>43</v>
      </c>
      <c r="J26" s="896" t="s">
        <v>44</v>
      </c>
      <c r="K26" s="897"/>
      <c r="L26" s="897"/>
      <c r="M26" s="913" t="s">
        <v>45</v>
      </c>
      <c r="N26" s="915" t="s">
        <v>46</v>
      </c>
      <c r="O26" s="898" t="s">
        <v>43</v>
      </c>
      <c r="P26" s="896" t="s">
        <v>44</v>
      </c>
      <c r="Q26" s="897"/>
      <c r="R26" s="897"/>
      <c r="S26" s="913" t="s">
        <v>45</v>
      </c>
      <c r="T26" s="915" t="s">
        <v>46</v>
      </c>
      <c r="U26" s="898" t="s">
        <v>43</v>
      </c>
      <c r="V26" s="896" t="s">
        <v>44</v>
      </c>
      <c r="W26" s="897"/>
      <c r="X26" s="897"/>
      <c r="Y26" s="913" t="s">
        <v>45</v>
      </c>
      <c r="Z26" s="915" t="s">
        <v>46</v>
      </c>
      <c r="AA26" s="898" t="s">
        <v>43</v>
      </c>
      <c r="AB26" s="894"/>
      <c r="AC26" s="3"/>
      <c r="AD26" s="3"/>
    </row>
    <row r="27" spans="1:30" ht="15.75" thickBot="1" x14ac:dyDescent="0.3">
      <c r="A27" s="1"/>
      <c r="B27" s="933"/>
      <c r="C27" s="918"/>
      <c r="D27" s="61" t="s">
        <v>47</v>
      </c>
      <c r="E27" s="62" t="s">
        <v>48</v>
      </c>
      <c r="F27" s="63" t="s">
        <v>49</v>
      </c>
      <c r="G27" s="914"/>
      <c r="H27" s="916"/>
      <c r="I27" s="899"/>
      <c r="J27" s="61" t="s">
        <v>47</v>
      </c>
      <c r="K27" s="62" t="s">
        <v>48</v>
      </c>
      <c r="L27" s="63" t="s">
        <v>49</v>
      </c>
      <c r="M27" s="914"/>
      <c r="N27" s="916"/>
      <c r="O27" s="899"/>
      <c r="P27" s="61" t="s">
        <v>47</v>
      </c>
      <c r="Q27" s="62" t="s">
        <v>48</v>
      </c>
      <c r="R27" s="63" t="s">
        <v>49</v>
      </c>
      <c r="S27" s="914"/>
      <c r="T27" s="916"/>
      <c r="U27" s="899"/>
      <c r="V27" s="61" t="s">
        <v>47</v>
      </c>
      <c r="W27" s="62" t="s">
        <v>48</v>
      </c>
      <c r="X27" s="63" t="s">
        <v>49</v>
      </c>
      <c r="Y27" s="914"/>
      <c r="Z27" s="916"/>
      <c r="AA27" s="899"/>
      <c r="AB27" s="895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668.6</v>
      </c>
      <c r="E28" s="65"/>
      <c r="F28" s="65"/>
      <c r="G28" s="66">
        <f>SUM(D28:F28)</f>
        <v>668.6</v>
      </c>
      <c r="H28" s="66"/>
      <c r="I28" s="67">
        <f>G28+H28</f>
        <v>668.6</v>
      </c>
      <c r="J28" s="68">
        <v>900</v>
      </c>
      <c r="K28" s="65"/>
      <c r="L28" s="65"/>
      <c r="M28" s="66">
        <f>SUM(J28:L28)</f>
        <v>900</v>
      </c>
      <c r="N28" s="66"/>
      <c r="O28" s="67">
        <f>M28+N28</f>
        <v>900</v>
      </c>
      <c r="P28" s="68">
        <v>295.89999999999998</v>
      </c>
      <c r="Q28" s="65"/>
      <c r="R28" s="65"/>
      <c r="S28" s="66">
        <f>SUM(P28:R28)</f>
        <v>295.89999999999998</v>
      </c>
      <c r="T28" s="66"/>
      <c r="U28" s="67">
        <f>S28+T28</f>
        <v>295.89999999999998</v>
      </c>
      <c r="V28" s="68">
        <v>1080</v>
      </c>
      <c r="W28" s="65"/>
      <c r="X28" s="65"/>
      <c r="Y28" s="66">
        <f>SUM(V28:X28)</f>
        <v>1080</v>
      </c>
      <c r="Z28" s="66"/>
      <c r="AA28" s="67">
        <f>Y28+Z28</f>
        <v>1080</v>
      </c>
      <c r="AB28" s="21">
        <f t="shared" ref="AB28:AB41" si="12">(AA28/O28)</f>
        <v>1.2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734.1</v>
      </c>
      <c r="E29" s="70">
        <v>469.5</v>
      </c>
      <c r="F29" s="70">
        <v>1578</v>
      </c>
      <c r="G29" s="71">
        <f t="shared" ref="G29:G38" si="13">SUM(D29:F29)</f>
        <v>2781.6</v>
      </c>
      <c r="H29" s="72"/>
      <c r="I29" s="20">
        <f t="shared" ref="I29:I38" si="14">G29+H29</f>
        <v>2781.6</v>
      </c>
      <c r="J29" s="73">
        <v>713</v>
      </c>
      <c r="K29" s="70">
        <v>350</v>
      </c>
      <c r="L29" s="70">
        <v>1750</v>
      </c>
      <c r="M29" s="71">
        <f t="shared" ref="M29:M38" si="15">SUM(J29:L29)</f>
        <v>2813</v>
      </c>
      <c r="N29" s="72">
        <v>48</v>
      </c>
      <c r="O29" s="20">
        <f t="shared" ref="O29:O38" si="16">M29+N29</f>
        <v>2861</v>
      </c>
      <c r="P29" s="73">
        <v>181.3</v>
      </c>
      <c r="Q29" s="70">
        <v>33.9</v>
      </c>
      <c r="R29" s="70">
        <v>1338.9</v>
      </c>
      <c r="S29" s="71">
        <f t="shared" ref="S29:S38" si="17">SUM(P29:R29)</f>
        <v>1554.1000000000001</v>
      </c>
      <c r="T29" s="72"/>
      <c r="U29" s="20">
        <f t="shared" ref="U29:U38" si="18">S29+T29</f>
        <v>1554.1000000000001</v>
      </c>
      <c r="V29" s="73">
        <f>1080+65</f>
        <v>1145</v>
      </c>
      <c r="W29" s="70"/>
      <c r="X29" s="70">
        <v>2200</v>
      </c>
      <c r="Y29" s="71">
        <f t="shared" ref="Y29:Y38" si="19">SUM(V29:X29)</f>
        <v>3345</v>
      </c>
      <c r="Z29" s="72">
        <v>50</v>
      </c>
      <c r="AA29" s="20">
        <f t="shared" ref="AA29:AA38" si="20">Y29+Z29</f>
        <v>3395</v>
      </c>
      <c r="AB29" s="21">
        <f t="shared" si="12"/>
        <v>1.1866480251660259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2187.1999999999998</v>
      </c>
      <c r="E30" s="74"/>
      <c r="F30" s="74" t="s">
        <v>132</v>
      </c>
      <c r="G30" s="71">
        <f t="shared" si="13"/>
        <v>2187.1999999999998</v>
      </c>
      <c r="H30" s="71">
        <v>22.4</v>
      </c>
      <c r="I30" s="20">
        <f t="shared" si="14"/>
        <v>2209.6</v>
      </c>
      <c r="J30" s="75">
        <f>2615+1318.8</f>
        <v>3933.8</v>
      </c>
      <c r="K30" s="74"/>
      <c r="L30" s="74"/>
      <c r="M30" s="71">
        <f t="shared" si="15"/>
        <v>3933.8</v>
      </c>
      <c r="N30" s="71">
        <v>72</v>
      </c>
      <c r="O30" s="20">
        <f t="shared" si="16"/>
        <v>4005.8</v>
      </c>
      <c r="P30" s="75">
        <v>1429.8</v>
      </c>
      <c r="Q30" s="74"/>
      <c r="R30" s="74"/>
      <c r="S30" s="71">
        <f t="shared" si="17"/>
        <v>1429.8</v>
      </c>
      <c r="T30" s="71">
        <v>5.5</v>
      </c>
      <c r="U30" s="20">
        <f t="shared" si="18"/>
        <v>1435.3</v>
      </c>
      <c r="V30" s="75">
        <f>3494-900</f>
        <v>2594</v>
      </c>
      <c r="W30" s="74"/>
      <c r="X30" s="74"/>
      <c r="Y30" s="71">
        <f t="shared" si="19"/>
        <v>2594</v>
      </c>
      <c r="Z30" s="71">
        <v>35</v>
      </c>
      <c r="AA30" s="20">
        <f t="shared" si="20"/>
        <v>2629</v>
      </c>
      <c r="AB30" s="21">
        <f t="shared" si="12"/>
        <v>0.65629836736731739</v>
      </c>
      <c r="AC30" s="3"/>
      <c r="AD30" s="3"/>
    </row>
    <row r="31" spans="1:30" x14ac:dyDescent="0.25">
      <c r="A31" s="1"/>
      <c r="B31" s="22" t="s">
        <v>56</v>
      </c>
      <c r="C31" s="41" t="s">
        <v>57</v>
      </c>
      <c r="D31" s="74">
        <v>983.8</v>
      </c>
      <c r="E31" s="74"/>
      <c r="F31" s="74">
        <v>2.6</v>
      </c>
      <c r="G31" s="71">
        <f t="shared" si="13"/>
        <v>986.4</v>
      </c>
      <c r="H31" s="71"/>
      <c r="I31" s="20">
        <f t="shared" si="14"/>
        <v>986.4</v>
      </c>
      <c r="J31" s="75">
        <v>890</v>
      </c>
      <c r="K31" s="74"/>
      <c r="L31" s="74">
        <v>80</v>
      </c>
      <c r="M31" s="71">
        <f t="shared" si="15"/>
        <v>970</v>
      </c>
      <c r="N31" s="71"/>
      <c r="O31" s="20">
        <f t="shared" si="16"/>
        <v>970</v>
      </c>
      <c r="P31" s="75">
        <v>483.6</v>
      </c>
      <c r="Q31" s="74">
        <v>25.3</v>
      </c>
      <c r="R31" s="74"/>
      <c r="S31" s="71">
        <f t="shared" si="17"/>
        <v>508.90000000000003</v>
      </c>
      <c r="T31" s="71"/>
      <c r="U31" s="20">
        <f t="shared" si="18"/>
        <v>508.90000000000003</v>
      </c>
      <c r="V31" s="75">
        <f>1024+25</f>
        <v>1049</v>
      </c>
      <c r="W31" s="74"/>
      <c r="X31" s="74">
        <v>80</v>
      </c>
      <c r="Y31" s="71">
        <f t="shared" si="19"/>
        <v>1129</v>
      </c>
      <c r="Z31" s="71"/>
      <c r="AA31" s="20">
        <f t="shared" si="20"/>
        <v>1129</v>
      </c>
      <c r="AB31" s="21">
        <f t="shared" si="12"/>
        <v>1.163917525773196</v>
      </c>
      <c r="AC31" s="3"/>
      <c r="AD31" s="3"/>
    </row>
    <row r="32" spans="1:30" x14ac:dyDescent="0.25">
      <c r="A32" s="1"/>
      <c r="B32" s="22" t="s">
        <v>58</v>
      </c>
      <c r="C32" s="41" t="s">
        <v>59</v>
      </c>
      <c r="D32" s="76">
        <f>D33+D34</f>
        <v>616.1</v>
      </c>
      <c r="E32" s="76">
        <f t="shared" ref="E32:F32" si="21">E33+E34</f>
        <v>40602.5</v>
      </c>
      <c r="F32" s="76">
        <f t="shared" si="21"/>
        <v>128</v>
      </c>
      <c r="G32" s="71">
        <f t="shared" si="13"/>
        <v>41346.6</v>
      </c>
      <c r="H32" s="71"/>
      <c r="I32" s="20">
        <f t="shared" si="14"/>
        <v>41346.6</v>
      </c>
      <c r="J32" s="77">
        <f>J33+J34</f>
        <v>397.6</v>
      </c>
      <c r="K32" s="74">
        <f>K33+K34</f>
        <v>41880.5</v>
      </c>
      <c r="L32" s="74"/>
      <c r="M32" s="71">
        <f t="shared" si="15"/>
        <v>42278.1</v>
      </c>
      <c r="N32" s="71"/>
      <c r="O32" s="20">
        <f t="shared" si="16"/>
        <v>42278.1</v>
      </c>
      <c r="P32" s="77">
        <v>325.39999999999998</v>
      </c>
      <c r="Q32" s="74">
        <v>19888.599999999999</v>
      </c>
      <c r="R32" s="74">
        <v>178.7</v>
      </c>
      <c r="S32" s="71">
        <f t="shared" si="17"/>
        <v>20392.7</v>
      </c>
      <c r="T32" s="71"/>
      <c r="U32" s="20">
        <f t="shared" si="18"/>
        <v>20392.7</v>
      </c>
      <c r="V32" s="77">
        <v>315.17</v>
      </c>
      <c r="W32" s="74">
        <f>W33+W34</f>
        <v>44540</v>
      </c>
      <c r="X32" s="74"/>
      <c r="Y32" s="71">
        <f t="shared" si="19"/>
        <v>44855.17</v>
      </c>
      <c r="Z32" s="71"/>
      <c r="AA32" s="20">
        <f t="shared" si="20"/>
        <v>44855.17</v>
      </c>
      <c r="AB32" s="21">
        <f t="shared" si="12"/>
        <v>1.0609551990273924</v>
      </c>
      <c r="AC32" s="3"/>
      <c r="AD32" s="3"/>
    </row>
    <row r="33" spans="1:30" x14ac:dyDescent="0.25">
      <c r="A33" s="1"/>
      <c r="B33" s="22" t="s">
        <v>60</v>
      </c>
      <c r="C33" s="35" t="s">
        <v>61</v>
      </c>
      <c r="D33" s="76">
        <v>468.5</v>
      </c>
      <c r="E33" s="74">
        <v>40071.4</v>
      </c>
      <c r="F33" s="74"/>
      <c r="G33" s="71">
        <f t="shared" si="13"/>
        <v>40539.9</v>
      </c>
      <c r="H33" s="71"/>
      <c r="I33" s="20">
        <f t="shared" si="14"/>
        <v>40539.9</v>
      </c>
      <c r="J33" s="77">
        <v>305.7</v>
      </c>
      <c r="K33" s="74">
        <v>41277.199999999997</v>
      </c>
      <c r="L33" s="74"/>
      <c r="M33" s="71">
        <f t="shared" si="15"/>
        <v>41582.899999999994</v>
      </c>
      <c r="N33" s="71"/>
      <c r="O33" s="20">
        <f t="shared" si="16"/>
        <v>41582.899999999994</v>
      </c>
      <c r="P33" s="77">
        <v>246.1</v>
      </c>
      <c r="Q33" s="74">
        <v>19207</v>
      </c>
      <c r="R33" s="74"/>
      <c r="S33" s="71">
        <f t="shared" si="17"/>
        <v>19453.099999999999</v>
      </c>
      <c r="T33" s="71"/>
      <c r="U33" s="20">
        <f t="shared" si="18"/>
        <v>19453.099999999999</v>
      </c>
      <c r="V33" s="77">
        <v>315.17</v>
      </c>
      <c r="W33" s="74">
        <v>44500</v>
      </c>
      <c r="X33" s="74"/>
      <c r="Y33" s="71">
        <f t="shared" si="19"/>
        <v>44815.17</v>
      </c>
      <c r="Z33" s="71"/>
      <c r="AA33" s="20">
        <f t="shared" si="20"/>
        <v>44815.17</v>
      </c>
      <c r="AB33" s="21">
        <f t="shared" si="12"/>
        <v>1.0777307498995983</v>
      </c>
      <c r="AC33" s="3"/>
      <c r="AD33" s="3"/>
    </row>
    <row r="34" spans="1:30" x14ac:dyDescent="0.25">
      <c r="A34" s="1"/>
      <c r="B34" s="22" t="s">
        <v>62</v>
      </c>
      <c r="C34" s="78" t="s">
        <v>63</v>
      </c>
      <c r="D34" s="76">
        <v>147.6</v>
      </c>
      <c r="E34" s="74">
        <v>531.1</v>
      </c>
      <c r="F34" s="74">
        <v>128</v>
      </c>
      <c r="G34" s="71">
        <f t="shared" si="13"/>
        <v>806.7</v>
      </c>
      <c r="H34" s="71"/>
      <c r="I34" s="20">
        <f t="shared" si="14"/>
        <v>806.7</v>
      </c>
      <c r="J34" s="77">
        <v>91.9</v>
      </c>
      <c r="K34" s="74">
        <v>603.29999999999995</v>
      </c>
      <c r="L34" s="74"/>
      <c r="M34" s="71">
        <f>SUM(J34:L34)</f>
        <v>695.19999999999993</v>
      </c>
      <c r="N34" s="71"/>
      <c r="O34" s="20">
        <f t="shared" si="16"/>
        <v>695.19999999999993</v>
      </c>
      <c r="P34" s="77">
        <v>79.3</v>
      </c>
      <c r="Q34" s="74">
        <v>681.6</v>
      </c>
      <c r="R34" s="74">
        <v>178.7</v>
      </c>
      <c r="S34" s="71">
        <f t="shared" si="17"/>
        <v>939.59999999999991</v>
      </c>
      <c r="T34" s="71"/>
      <c r="U34" s="20">
        <f t="shared" si="18"/>
        <v>939.59999999999991</v>
      </c>
      <c r="V34" s="77" t="s">
        <v>132</v>
      </c>
      <c r="W34" s="74">
        <v>40</v>
      </c>
      <c r="X34" s="74"/>
      <c r="Y34" s="71">
        <f t="shared" si="19"/>
        <v>40</v>
      </c>
      <c r="Z34" s="71"/>
      <c r="AA34" s="20">
        <f t="shared" si="20"/>
        <v>40</v>
      </c>
      <c r="AB34" s="21">
        <f t="shared" si="12"/>
        <v>5.7537399309551214E-2</v>
      </c>
      <c r="AC34" s="3"/>
      <c r="AD34" s="3"/>
    </row>
    <row r="35" spans="1:30" x14ac:dyDescent="0.25">
      <c r="A35" s="1"/>
      <c r="B35" s="22" t="s">
        <v>64</v>
      </c>
      <c r="C35" s="41" t="s">
        <v>65</v>
      </c>
      <c r="D35" s="76">
        <v>158.4</v>
      </c>
      <c r="E35" s="74">
        <v>13494.2</v>
      </c>
      <c r="F35" s="74"/>
      <c r="G35" s="71">
        <f t="shared" si="13"/>
        <v>13652.6</v>
      </c>
      <c r="H35" s="71"/>
      <c r="I35" s="20">
        <f t="shared" si="14"/>
        <v>13652.6</v>
      </c>
      <c r="J35" s="77">
        <v>103.3</v>
      </c>
      <c r="K35" s="74">
        <v>13951.7</v>
      </c>
      <c r="L35" s="74"/>
      <c r="M35" s="71">
        <f t="shared" si="15"/>
        <v>14055</v>
      </c>
      <c r="N35" s="71"/>
      <c r="O35" s="20">
        <f t="shared" si="16"/>
        <v>14055</v>
      </c>
      <c r="P35" s="77">
        <v>83</v>
      </c>
      <c r="Q35" s="74">
        <v>6419.2</v>
      </c>
      <c r="R35" s="74"/>
      <c r="S35" s="71">
        <f t="shared" si="17"/>
        <v>6502.2</v>
      </c>
      <c r="T35" s="71"/>
      <c r="U35" s="20">
        <f t="shared" si="18"/>
        <v>6502.2</v>
      </c>
      <c r="V35" s="77">
        <v>106.53</v>
      </c>
      <c r="W35" s="74">
        <v>15041</v>
      </c>
      <c r="X35" s="74"/>
      <c r="Y35" s="71">
        <f t="shared" si="19"/>
        <v>15147.53</v>
      </c>
      <c r="Z35" s="71"/>
      <c r="AA35" s="20">
        <f t="shared" si="20"/>
        <v>15147.53</v>
      </c>
      <c r="AB35" s="21">
        <f t="shared" si="12"/>
        <v>1.0777324795446461</v>
      </c>
      <c r="AC35" s="3"/>
      <c r="AD35" s="3"/>
    </row>
    <row r="36" spans="1:30" x14ac:dyDescent="0.25">
      <c r="A36" s="1"/>
      <c r="B36" s="22" t="s">
        <v>66</v>
      </c>
      <c r="C36" s="41" t="s">
        <v>67</v>
      </c>
      <c r="D36" s="74" t="s">
        <v>132</v>
      </c>
      <c r="E36" s="74"/>
      <c r="F36" s="74"/>
      <c r="G36" s="71">
        <f t="shared" si="13"/>
        <v>0</v>
      </c>
      <c r="H36" s="71"/>
      <c r="I36" s="20">
        <f t="shared" si="14"/>
        <v>0</v>
      </c>
      <c r="J36" s="75"/>
      <c r="K36" s="74"/>
      <c r="L36" s="74"/>
      <c r="M36" s="71">
        <f t="shared" si="15"/>
        <v>0</v>
      </c>
      <c r="N36" s="71"/>
      <c r="O36" s="20">
        <f t="shared" si="16"/>
        <v>0</v>
      </c>
      <c r="P36" s="75"/>
      <c r="Q36" s="74">
        <v>1173.7</v>
      </c>
      <c r="R36" s="74"/>
      <c r="S36" s="71">
        <f t="shared" si="17"/>
        <v>1173.7</v>
      </c>
      <c r="T36" s="71"/>
      <c r="U36" s="20">
        <f t="shared" si="18"/>
        <v>1173.7</v>
      </c>
      <c r="V36" s="75"/>
      <c r="W36" s="74"/>
      <c r="X36" s="74"/>
      <c r="Y36" s="71">
        <f t="shared" si="19"/>
        <v>0</v>
      </c>
      <c r="Z36" s="71"/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68</v>
      </c>
      <c r="C37" s="41" t="s">
        <v>69</v>
      </c>
      <c r="D37" s="74">
        <v>1118.8</v>
      </c>
      <c r="E37" s="74"/>
      <c r="F37" s="74">
        <v>895.5</v>
      </c>
      <c r="G37" s="71">
        <f t="shared" si="13"/>
        <v>2014.3</v>
      </c>
      <c r="H37" s="71"/>
      <c r="I37" s="20">
        <f t="shared" si="14"/>
        <v>2014.3</v>
      </c>
      <c r="J37" s="75">
        <v>1096.3</v>
      </c>
      <c r="K37" s="74"/>
      <c r="L37" s="74">
        <v>895.5</v>
      </c>
      <c r="M37" s="71">
        <f t="shared" si="15"/>
        <v>1991.8</v>
      </c>
      <c r="N37" s="71"/>
      <c r="O37" s="20">
        <f t="shared" si="16"/>
        <v>1991.8</v>
      </c>
      <c r="P37" s="75">
        <v>563.79999999999995</v>
      </c>
      <c r="Q37" s="74"/>
      <c r="R37" s="74">
        <v>447.7</v>
      </c>
      <c r="S37" s="71">
        <f t="shared" si="17"/>
        <v>1011.5</v>
      </c>
      <c r="T37" s="71"/>
      <c r="U37" s="20">
        <f t="shared" si="18"/>
        <v>1011.5</v>
      </c>
      <c r="V37" s="75">
        <v>1311</v>
      </c>
      <c r="W37" s="74"/>
      <c r="X37" s="74"/>
      <c r="Y37" s="71">
        <f t="shared" si="19"/>
        <v>1311</v>
      </c>
      <c r="Z37" s="71"/>
      <c r="AA37" s="20">
        <f t="shared" si="20"/>
        <v>1311</v>
      </c>
      <c r="AB37" s="21">
        <f t="shared" si="12"/>
        <v>0.65819861431870674</v>
      </c>
      <c r="AC37" s="3"/>
      <c r="AD37" s="3"/>
    </row>
    <row r="38" spans="1:30" ht="15.75" thickBot="1" x14ac:dyDescent="0.3">
      <c r="A38" s="1"/>
      <c r="B38" s="79" t="s">
        <v>70</v>
      </c>
      <c r="C38" s="80" t="s">
        <v>71</v>
      </c>
      <c r="D38" s="81">
        <v>995.1</v>
      </c>
      <c r="E38" s="81">
        <v>2046</v>
      </c>
      <c r="F38" s="81">
        <v>152.30000000000001</v>
      </c>
      <c r="G38" s="71">
        <f t="shared" si="13"/>
        <v>3193.4</v>
      </c>
      <c r="H38" s="82"/>
      <c r="I38" s="50">
        <f t="shared" si="14"/>
        <v>3193.4</v>
      </c>
      <c r="J38" s="83">
        <v>669.7</v>
      </c>
      <c r="K38" s="81">
        <v>1475.5</v>
      </c>
      <c r="L38" s="81">
        <v>85</v>
      </c>
      <c r="M38" s="82">
        <f t="shared" si="15"/>
        <v>2230.1999999999998</v>
      </c>
      <c r="N38" s="82"/>
      <c r="O38" s="50">
        <f t="shared" si="16"/>
        <v>2230.1999999999998</v>
      </c>
      <c r="P38" s="83">
        <v>332.3</v>
      </c>
      <c r="Q38" s="81"/>
      <c r="R38" s="81"/>
      <c r="S38" s="82">
        <f t="shared" si="17"/>
        <v>332.3</v>
      </c>
      <c r="T38" s="82"/>
      <c r="U38" s="50">
        <f t="shared" si="18"/>
        <v>332.3</v>
      </c>
      <c r="V38" s="83">
        <f>770+11.4</f>
        <v>781.4</v>
      </c>
      <c r="W38" s="81">
        <v>2000</v>
      </c>
      <c r="X38" s="81">
        <v>1115.5</v>
      </c>
      <c r="Y38" s="82">
        <f t="shared" si="19"/>
        <v>3896.9</v>
      </c>
      <c r="Z38" s="82">
        <v>65</v>
      </c>
      <c r="AA38" s="50">
        <f t="shared" si="20"/>
        <v>3961.9</v>
      </c>
      <c r="AB38" s="51">
        <f t="shared" si="12"/>
        <v>1.7764774459689716</v>
      </c>
      <c r="AC38" s="3"/>
      <c r="AD38" s="3"/>
    </row>
    <row r="39" spans="1:30" ht="15.75" thickBot="1" x14ac:dyDescent="0.3">
      <c r="A39" s="1"/>
      <c r="B39" s="52" t="s">
        <v>72</v>
      </c>
      <c r="C39" s="84" t="s">
        <v>73</v>
      </c>
      <c r="D39" s="85">
        <f>SUM(D35:D38)+SUM(D28:D32)</f>
        <v>7462.1</v>
      </c>
      <c r="E39" s="85">
        <f>SUM(E35:E38)+SUM(E28:E32)</f>
        <v>56612.2</v>
      </c>
      <c r="F39" s="85">
        <f>SUM(F35:F38)+SUM(F28:F32)</f>
        <v>2756.3999999999996</v>
      </c>
      <c r="G39" s="86">
        <f>SUM(D39:F39)</f>
        <v>66830.7</v>
      </c>
      <c r="H39" s="87">
        <f>SUM(H28:H32)+SUM(H35:H38)</f>
        <v>22.4</v>
      </c>
      <c r="I39" s="88">
        <f>SUM(I35:I38)+SUM(I28:I32)</f>
        <v>66853.099999999991</v>
      </c>
      <c r="J39" s="85">
        <f>SUM(J35:J38)+SUM(J28:J32)</f>
        <v>8703.7000000000007</v>
      </c>
      <c r="K39" s="85">
        <f>SUM(K35:K38)+SUM(K28:K32)</f>
        <v>57657.7</v>
      </c>
      <c r="L39" s="85">
        <f>SUM(L35:L38)+SUM(L28:L32)</f>
        <v>2810.5</v>
      </c>
      <c r="M39" s="86">
        <f>SUM(J39:L39)</f>
        <v>69171.899999999994</v>
      </c>
      <c r="N39" s="87">
        <f>SUM(N28:N32)+SUM(N35:N38)</f>
        <v>120</v>
      </c>
      <c r="O39" s="88">
        <f>SUM(O35:O38)+SUM(O28:O32)</f>
        <v>69291.899999999994</v>
      </c>
      <c r="P39" s="85">
        <f>SUM(P35:P38)+SUM(P28:P32)</f>
        <v>3695.1</v>
      </c>
      <c r="Q39" s="85">
        <f>SUM(Q35:Q38)+SUM(Q28:Q32)</f>
        <v>27540.699999999997</v>
      </c>
      <c r="R39" s="85">
        <f>SUM(R35:R38)+SUM(R28:R32)</f>
        <v>1965.3000000000002</v>
      </c>
      <c r="S39" s="86">
        <f>SUM(P39:R39)</f>
        <v>33201.1</v>
      </c>
      <c r="T39" s="87">
        <f>SUM(T28:T32)+SUM(T35:T38)</f>
        <v>5.5</v>
      </c>
      <c r="U39" s="88">
        <f>SUM(U35:U38)+SUM(U28:U32)</f>
        <v>33206.6</v>
      </c>
      <c r="V39" s="85">
        <f>SUM(V35:V38)+SUM(V28:V32)</f>
        <v>8382.1</v>
      </c>
      <c r="W39" s="85">
        <f>SUM(W35:W38)+SUM(W28:W32)</f>
        <v>61581</v>
      </c>
      <c r="X39" s="85">
        <f>SUM(X35:X38)+SUM(X28:X32)</f>
        <v>3395.5</v>
      </c>
      <c r="Y39" s="86">
        <f>SUM(V39:X39)</f>
        <v>73358.600000000006</v>
      </c>
      <c r="Z39" s="87">
        <f>SUM(Z28:Z32)+SUM(Z35:Z38)</f>
        <v>150</v>
      </c>
      <c r="AA39" s="88">
        <f>SUM(AA35:AA38)+SUM(AA28:AA32)</f>
        <v>73508.600000000006</v>
      </c>
      <c r="AB39" s="89">
        <f t="shared" si="12"/>
        <v>1.0608541546703152</v>
      </c>
      <c r="AC39" s="3"/>
      <c r="AD39" s="3"/>
    </row>
    <row r="40" spans="1:30" ht="19.5" thickBot="1" x14ac:dyDescent="0.35">
      <c r="A40" s="1"/>
      <c r="B40" s="90" t="s">
        <v>74</v>
      </c>
      <c r="C40" s="91" t="s">
        <v>75</v>
      </c>
      <c r="D40" s="92">
        <f t="shared" ref="D40:AA40" si="22">D24-D39</f>
        <v>-193.00000000000091</v>
      </c>
      <c r="E40" s="92">
        <f t="shared" si="22"/>
        <v>0</v>
      </c>
      <c r="F40" s="92">
        <f t="shared" si="22"/>
        <v>189.00000000000091</v>
      </c>
      <c r="G40" s="93">
        <f t="shared" si="22"/>
        <v>-4</v>
      </c>
      <c r="H40" s="93">
        <f t="shared" si="22"/>
        <v>121.1</v>
      </c>
      <c r="I40" s="94">
        <f t="shared" si="22"/>
        <v>117.10000000002037</v>
      </c>
      <c r="J40" s="92">
        <f t="shared" si="22"/>
        <v>0</v>
      </c>
      <c r="K40" s="92">
        <f t="shared" si="22"/>
        <v>0</v>
      </c>
      <c r="L40" s="92">
        <f t="shared" si="22"/>
        <v>0</v>
      </c>
      <c r="M40" s="93">
        <f t="shared" si="22"/>
        <v>0</v>
      </c>
      <c r="N40" s="93">
        <f t="shared" si="22"/>
        <v>0</v>
      </c>
      <c r="O40" s="94">
        <f t="shared" si="22"/>
        <v>0</v>
      </c>
      <c r="P40" s="92">
        <f t="shared" si="22"/>
        <v>438.40000000000009</v>
      </c>
      <c r="Q40" s="92">
        <f t="shared" si="22"/>
        <v>0</v>
      </c>
      <c r="R40" s="92">
        <f t="shared" si="22"/>
        <v>63.099999999999682</v>
      </c>
      <c r="S40" s="93">
        <f t="shared" si="22"/>
        <v>501.5</v>
      </c>
      <c r="T40" s="93">
        <f t="shared" si="22"/>
        <v>122.5</v>
      </c>
      <c r="U40" s="94">
        <f t="shared" si="22"/>
        <v>624.00000000000728</v>
      </c>
      <c r="V40" s="92">
        <f t="shared" si="22"/>
        <v>0</v>
      </c>
      <c r="W40" s="92">
        <f t="shared" si="22"/>
        <v>0</v>
      </c>
      <c r="X40" s="92">
        <f t="shared" si="22"/>
        <v>0</v>
      </c>
      <c r="Y40" s="93">
        <f t="shared" si="22"/>
        <v>0</v>
      </c>
      <c r="Z40" s="93">
        <f t="shared" si="22"/>
        <v>0</v>
      </c>
      <c r="AA40" s="94">
        <f t="shared" si="22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76</v>
      </c>
      <c r="C41" s="97" t="s">
        <v>77</v>
      </c>
      <c r="D41" s="98"/>
      <c r="E41" s="99"/>
      <c r="F41" s="99"/>
      <c r="G41" s="100"/>
      <c r="H41" s="101"/>
      <c r="I41" s="102">
        <f>I40-D16</f>
        <v>-6258.7999999999793</v>
      </c>
      <c r="J41" s="98"/>
      <c r="K41" s="99"/>
      <c r="L41" s="99"/>
      <c r="M41" s="100"/>
      <c r="N41" s="103"/>
      <c r="O41" s="102">
        <f>O40-J16</f>
        <v>-6810</v>
      </c>
      <c r="P41" s="98"/>
      <c r="Q41" s="99"/>
      <c r="R41" s="99"/>
      <c r="S41" s="100"/>
      <c r="T41" s="103"/>
      <c r="U41" s="102">
        <f>U40-P16</f>
        <v>-3085.9999999999927</v>
      </c>
      <c r="V41" s="98"/>
      <c r="W41" s="99"/>
      <c r="X41" s="99"/>
      <c r="Y41" s="100"/>
      <c r="Z41" s="103"/>
      <c r="AA41" s="102">
        <f>AA40-V16</f>
        <v>-7859</v>
      </c>
      <c r="AB41" s="21">
        <f t="shared" si="12"/>
        <v>1.1540381791483114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928" t="s">
        <v>78</v>
      </c>
      <c r="D43" s="112" t="s">
        <v>79</v>
      </c>
      <c r="E43" s="113" t="s">
        <v>80</v>
      </c>
      <c r="F43" s="114" t="s">
        <v>81</v>
      </c>
      <c r="G43" s="108"/>
      <c r="H43" s="108"/>
      <c r="I43" s="115"/>
      <c r="J43" s="112" t="s">
        <v>79</v>
      </c>
      <c r="K43" s="113" t="s">
        <v>80</v>
      </c>
      <c r="L43" s="114" t="s">
        <v>81</v>
      </c>
      <c r="M43" s="108"/>
      <c r="N43" s="108"/>
      <c r="O43" s="108"/>
      <c r="P43" s="112" t="s">
        <v>79</v>
      </c>
      <c r="Q43" s="113" t="s">
        <v>80</v>
      </c>
      <c r="R43" s="114" t="s">
        <v>81</v>
      </c>
      <c r="S43" s="109"/>
      <c r="T43" s="109"/>
      <c r="U43" s="109"/>
      <c r="V43" s="112" t="s">
        <v>79</v>
      </c>
      <c r="W43" s="113" t="s">
        <v>80</v>
      </c>
      <c r="X43" s="114" t="s">
        <v>81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929"/>
      <c r="D44" s="116">
        <v>821.9</v>
      </c>
      <c r="E44" s="117">
        <v>821.9</v>
      </c>
      <c r="F44" s="118">
        <v>0</v>
      </c>
      <c r="G44" s="108"/>
      <c r="H44" s="108"/>
      <c r="I44" s="115"/>
      <c r="J44" s="116">
        <v>821.9</v>
      </c>
      <c r="K44" s="117">
        <v>821.9</v>
      </c>
      <c r="L44" s="118">
        <v>0</v>
      </c>
      <c r="M44" s="119"/>
      <c r="N44" s="119"/>
      <c r="O44" s="119"/>
      <c r="P44" s="116">
        <v>821.9</v>
      </c>
      <c r="Q44" s="117">
        <v>821.9</v>
      </c>
      <c r="R44" s="118">
        <v>0</v>
      </c>
      <c r="S44" s="3"/>
      <c r="T44" s="3"/>
      <c r="U44" s="3"/>
      <c r="V44" s="116">
        <v>821.9</v>
      </c>
      <c r="W44" s="117">
        <v>821.9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928" t="s">
        <v>82</v>
      </c>
      <c r="D46" s="120" t="s">
        <v>83</v>
      </c>
      <c r="E46" s="121" t="s">
        <v>84</v>
      </c>
      <c r="F46" s="108"/>
      <c r="G46" s="108"/>
      <c r="H46" s="108"/>
      <c r="I46" s="115"/>
      <c r="J46" s="120" t="s">
        <v>83</v>
      </c>
      <c r="K46" s="121" t="s">
        <v>84</v>
      </c>
      <c r="L46" s="122"/>
      <c r="M46" s="122"/>
      <c r="N46" s="109"/>
      <c r="O46" s="109"/>
      <c r="P46" s="120" t="s">
        <v>83</v>
      </c>
      <c r="Q46" s="121" t="s">
        <v>84</v>
      </c>
      <c r="R46" s="109"/>
      <c r="S46" s="109"/>
      <c r="T46" s="109"/>
      <c r="U46" s="109"/>
      <c r="V46" s="120" t="s">
        <v>83</v>
      </c>
      <c r="W46" s="121" t="s">
        <v>84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930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85</v>
      </c>
      <c r="D49" s="127" t="s">
        <v>86</v>
      </c>
      <c r="E49" s="127" t="s">
        <v>87</v>
      </c>
      <c r="F49" s="127" t="s">
        <v>88</v>
      </c>
      <c r="G49" s="127" t="s">
        <v>89</v>
      </c>
      <c r="H49" s="108"/>
      <c r="I49" s="3"/>
      <c r="J49" s="127" t="s">
        <v>86</v>
      </c>
      <c r="K49" s="127" t="s">
        <v>87</v>
      </c>
      <c r="L49" s="127" t="s">
        <v>88</v>
      </c>
      <c r="M49" s="127" t="s">
        <v>90</v>
      </c>
      <c r="N49" s="3"/>
      <c r="O49" s="3"/>
      <c r="P49" s="127" t="s">
        <v>86</v>
      </c>
      <c r="Q49" s="127" t="s">
        <v>87</v>
      </c>
      <c r="R49" s="127" t="s">
        <v>88</v>
      </c>
      <c r="S49" s="127" t="s">
        <v>181</v>
      </c>
      <c r="T49" s="3"/>
      <c r="U49" s="3"/>
      <c r="V49" s="127" t="s">
        <v>92</v>
      </c>
      <c r="W49" s="127" t="s">
        <v>87</v>
      </c>
      <c r="X49" s="127" t="s">
        <v>88</v>
      </c>
      <c r="Y49" s="127" t="s">
        <v>90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/>
      <c r="E50" s="129"/>
      <c r="F50" s="129"/>
      <c r="G50" s="130">
        <f>D50+E50-F50</f>
        <v>0</v>
      </c>
      <c r="H50" s="108"/>
      <c r="I50" s="3"/>
      <c r="J50" s="129"/>
      <c r="K50" s="129"/>
      <c r="L50" s="129"/>
      <c r="M50" s="130">
        <f>J50+K50-L50</f>
        <v>0</v>
      </c>
      <c r="N50" s="3"/>
      <c r="O50" s="3"/>
      <c r="P50" s="129"/>
      <c r="Q50" s="129"/>
      <c r="R50" s="129"/>
      <c r="S50" s="130">
        <f>P50+Q50-R50</f>
        <v>0</v>
      </c>
      <c r="T50" s="3"/>
      <c r="U50" s="3"/>
      <c r="V50" s="129"/>
      <c r="W50" s="129"/>
      <c r="X50" s="129"/>
      <c r="Y50" s="13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1515.1</v>
      </c>
      <c r="E51" s="129">
        <f>14.3+2582.6</f>
        <v>2596.9</v>
      </c>
      <c r="F51" s="129">
        <v>1486.3</v>
      </c>
      <c r="G51" s="130">
        <f t="shared" ref="G51:G54" si="23">D51+E51-F51</f>
        <v>2625.7</v>
      </c>
      <c r="H51" s="108"/>
      <c r="I51" s="3"/>
      <c r="J51" s="129">
        <f>G51</f>
        <v>2625.7</v>
      </c>
      <c r="K51" s="129"/>
      <c r="L51" s="129">
        <v>2434.6</v>
      </c>
      <c r="M51" s="130">
        <f t="shared" ref="M51:M54" si="24">J51+K51-L51</f>
        <v>191.09999999999991</v>
      </c>
      <c r="N51" s="3"/>
      <c r="O51" s="3"/>
      <c r="P51" s="129">
        <f>G51</f>
        <v>2625.7</v>
      </c>
      <c r="Q51" s="129">
        <v>207.2</v>
      </c>
      <c r="R51" s="129">
        <v>1528.9</v>
      </c>
      <c r="S51" s="130">
        <f t="shared" ref="S51:S54" si="25">P51+Q51-R51</f>
        <v>1303.9999999999995</v>
      </c>
      <c r="T51" s="3"/>
      <c r="U51" s="3"/>
      <c r="V51" s="129">
        <f>M51</f>
        <v>191.09999999999991</v>
      </c>
      <c r="W51" s="129">
        <v>150</v>
      </c>
      <c r="X51" s="129"/>
      <c r="Y51" s="130">
        <f t="shared" ref="Y51:Y54" si="26">V51+W51-X51</f>
        <v>341.09999999999991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653.9</v>
      </c>
      <c r="E52" s="129">
        <v>1118.8</v>
      </c>
      <c r="F52" s="129">
        <v>968.6</v>
      </c>
      <c r="G52" s="130">
        <f t="shared" si="23"/>
        <v>804.0999999999998</v>
      </c>
      <c r="H52" s="108"/>
      <c r="I52" s="3"/>
      <c r="J52" s="129">
        <f>G52</f>
        <v>804.0999999999998</v>
      </c>
      <c r="K52" s="129">
        <v>1096.3</v>
      </c>
      <c r="L52" s="129">
        <v>1521</v>
      </c>
      <c r="M52" s="130">
        <f t="shared" si="24"/>
        <v>379.39999999999964</v>
      </c>
      <c r="N52" s="3"/>
      <c r="O52" s="3"/>
      <c r="P52" s="129">
        <f>G52</f>
        <v>804.0999999999998</v>
      </c>
      <c r="Q52" s="129">
        <v>563.79999999999995</v>
      </c>
      <c r="R52" s="129">
        <v>647.9</v>
      </c>
      <c r="S52" s="130">
        <f t="shared" si="25"/>
        <v>719.99999999999966</v>
      </c>
      <c r="T52" s="3"/>
      <c r="U52" s="3"/>
      <c r="V52" s="129">
        <f t="shared" ref="V52:V54" si="27">M52</f>
        <v>379.39999999999964</v>
      </c>
      <c r="W52" s="129">
        <v>1200</v>
      </c>
      <c r="X52" s="129">
        <v>1200</v>
      </c>
      <c r="Y52" s="130">
        <f t="shared" si="26"/>
        <v>379.39999999999964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189.7</v>
      </c>
      <c r="E53" s="129">
        <v>3.5</v>
      </c>
      <c r="F53" s="129">
        <v>27.9</v>
      </c>
      <c r="G53" s="130">
        <f t="shared" si="23"/>
        <v>165.29999999999998</v>
      </c>
      <c r="H53" s="108"/>
      <c r="I53" s="3"/>
      <c r="J53" s="129">
        <f>G53</f>
        <v>165.29999999999998</v>
      </c>
      <c r="K53" s="129"/>
      <c r="L53" s="129">
        <v>50</v>
      </c>
      <c r="M53" s="130">
        <f t="shared" si="24"/>
        <v>115.29999999999998</v>
      </c>
      <c r="N53" s="3"/>
      <c r="O53" s="3"/>
      <c r="P53" s="129">
        <f>G53</f>
        <v>165.29999999999998</v>
      </c>
      <c r="Q53" s="129">
        <v>23.8</v>
      </c>
      <c r="R53" s="129"/>
      <c r="S53" s="130">
        <f t="shared" si="25"/>
        <v>189.1</v>
      </c>
      <c r="T53" s="3"/>
      <c r="U53" s="3"/>
      <c r="V53" s="129">
        <f t="shared" si="27"/>
        <v>115.29999999999998</v>
      </c>
      <c r="W53" s="129"/>
      <c r="X53" s="129">
        <v>50</v>
      </c>
      <c r="Y53" s="130">
        <f t="shared" si="26"/>
        <v>65.299999999999983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3" t="s">
        <v>97</v>
      </c>
      <c r="D54" s="129">
        <v>979.3</v>
      </c>
      <c r="E54" s="129">
        <v>817.1</v>
      </c>
      <c r="F54" s="129">
        <v>385.5</v>
      </c>
      <c r="G54" s="130">
        <f t="shared" si="23"/>
        <v>1410.9</v>
      </c>
      <c r="H54" s="108"/>
      <c r="I54" s="3"/>
      <c r="J54" s="129">
        <f>G54</f>
        <v>1410.9</v>
      </c>
      <c r="K54" s="129">
        <v>830</v>
      </c>
      <c r="L54" s="129">
        <v>1100</v>
      </c>
      <c r="M54" s="130">
        <f t="shared" si="24"/>
        <v>1140.9000000000001</v>
      </c>
      <c r="N54" s="3"/>
      <c r="O54" s="3"/>
      <c r="P54" s="129">
        <f>G54</f>
        <v>1410.9</v>
      </c>
      <c r="Q54" s="129">
        <v>397.6</v>
      </c>
      <c r="R54" s="129">
        <v>318.60000000000002</v>
      </c>
      <c r="S54" s="130">
        <f t="shared" si="25"/>
        <v>1489.9</v>
      </c>
      <c r="T54" s="3"/>
      <c r="U54" s="3"/>
      <c r="V54" s="129">
        <f t="shared" si="27"/>
        <v>1140.9000000000001</v>
      </c>
      <c r="W54" s="129">
        <v>800</v>
      </c>
      <c r="X54" s="129">
        <v>1200</v>
      </c>
      <c r="Y54" s="130">
        <f t="shared" si="26"/>
        <v>740.90000000000009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4">
        <v>86.1</v>
      </c>
      <c r="E57" s="134">
        <v>89.9</v>
      </c>
      <c r="F57" s="108"/>
      <c r="G57" s="108"/>
      <c r="H57" s="108"/>
      <c r="I57" s="115"/>
      <c r="J57" s="134">
        <v>91.5</v>
      </c>
      <c r="K57" s="108"/>
      <c r="L57" s="108"/>
      <c r="M57" s="108"/>
      <c r="N57" s="108"/>
      <c r="O57" s="115"/>
      <c r="P57" s="134">
        <v>91.5</v>
      </c>
      <c r="Q57" s="115"/>
      <c r="R57" s="115"/>
      <c r="S57" s="115"/>
      <c r="T57" s="115"/>
      <c r="U57" s="115"/>
      <c r="V57" s="134">
        <v>92.5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5" t="s">
        <v>103</v>
      </c>
      <c r="C59" s="136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  <c r="O59" s="931"/>
      <c r="P59" s="931"/>
      <c r="Q59" s="931"/>
      <c r="R59" s="931"/>
      <c r="S59" s="931"/>
      <c r="T59" s="931"/>
      <c r="U59" s="931"/>
      <c r="V59" s="137"/>
      <c r="W59" s="137"/>
      <c r="X59" s="137"/>
      <c r="Y59" s="137"/>
      <c r="Z59" s="137"/>
      <c r="AA59" s="137"/>
      <c r="AB59" s="138"/>
      <c r="AC59" s="3"/>
      <c r="AD59" s="3"/>
    </row>
    <row r="60" spans="1:30" x14ac:dyDescent="0.25">
      <c r="A60" s="1"/>
      <c r="B60" s="13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0"/>
      <c r="AC60" s="3"/>
      <c r="AD60" s="3"/>
    </row>
    <row r="61" spans="1:30" x14ac:dyDescent="0.25">
      <c r="A61" s="1"/>
      <c r="B61" s="925"/>
      <c r="C61" s="921"/>
      <c r="D61" s="921"/>
      <c r="E61" s="921"/>
      <c r="F61" s="921"/>
      <c r="G61" s="921"/>
      <c r="H61" s="921"/>
      <c r="I61" s="921"/>
      <c r="J61" s="921"/>
      <c r="K61" s="921"/>
      <c r="L61" s="921"/>
      <c r="M61" s="921"/>
      <c r="N61" s="921"/>
      <c r="O61" s="921"/>
      <c r="P61" s="921"/>
      <c r="Q61" s="921"/>
      <c r="R61" s="921"/>
      <c r="S61" s="921"/>
      <c r="T61" s="921"/>
      <c r="U61" s="921"/>
      <c r="V61" s="110"/>
      <c r="W61" s="110"/>
      <c r="X61" s="110"/>
      <c r="Y61" s="110"/>
      <c r="Z61" s="110"/>
      <c r="AA61" s="110"/>
      <c r="AB61" s="140"/>
      <c r="AC61" s="3"/>
      <c r="AD61" s="3"/>
    </row>
    <row r="62" spans="1:30" x14ac:dyDescent="0.25">
      <c r="A62" s="1"/>
      <c r="B62" s="925"/>
      <c r="C62" s="921"/>
      <c r="D62" s="921"/>
      <c r="E62" s="921"/>
      <c r="F62" s="921"/>
      <c r="G62" s="921"/>
      <c r="H62" s="921"/>
      <c r="I62" s="921"/>
      <c r="J62" s="921"/>
      <c r="K62" s="921"/>
      <c r="L62" s="921"/>
      <c r="M62" s="921"/>
      <c r="N62" s="921"/>
      <c r="O62" s="921"/>
      <c r="P62" s="921"/>
      <c r="Q62" s="921"/>
      <c r="R62" s="921"/>
      <c r="S62" s="921"/>
      <c r="T62" s="921"/>
      <c r="U62" s="921"/>
      <c r="V62" s="110"/>
      <c r="W62" s="110"/>
      <c r="X62" s="110"/>
      <c r="Y62" s="110"/>
      <c r="Z62" s="110"/>
      <c r="AA62" s="110"/>
      <c r="AB62" s="140"/>
      <c r="AC62" s="3"/>
      <c r="AD62" s="3"/>
    </row>
    <row r="63" spans="1:30" x14ac:dyDescent="0.25">
      <c r="A63" s="1"/>
      <c r="B63" s="925"/>
      <c r="C63" s="921"/>
      <c r="D63" s="921"/>
      <c r="E63" s="921"/>
      <c r="F63" s="921"/>
      <c r="G63" s="921"/>
      <c r="H63" s="921"/>
      <c r="I63" s="921"/>
      <c r="J63" s="921"/>
      <c r="K63" s="921"/>
      <c r="L63" s="921"/>
      <c r="M63" s="921"/>
      <c r="N63" s="921"/>
      <c r="O63" s="921"/>
      <c r="P63" s="921"/>
      <c r="Q63" s="921"/>
      <c r="R63" s="921"/>
      <c r="S63" s="921"/>
      <c r="T63" s="921"/>
      <c r="U63" s="921"/>
      <c r="V63" s="110"/>
      <c r="W63" s="110"/>
      <c r="X63" s="110"/>
      <c r="Y63" s="110"/>
      <c r="Z63" s="110"/>
      <c r="AA63" s="110"/>
      <c r="AB63" s="140"/>
      <c r="AC63" s="3"/>
      <c r="AD63" s="3"/>
    </row>
    <row r="64" spans="1:30" x14ac:dyDescent="0.25">
      <c r="A64" s="1"/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10"/>
      <c r="W64" s="110"/>
      <c r="X64" s="110"/>
      <c r="Y64" s="110"/>
      <c r="Z64" s="110"/>
      <c r="AA64" s="110"/>
      <c r="AB64" s="140"/>
      <c r="AC64" s="3"/>
      <c r="AD64" s="3"/>
    </row>
    <row r="65" spans="1:30" x14ac:dyDescent="0.25">
      <c r="A65" s="1"/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10"/>
      <c r="W65" s="110"/>
      <c r="X65" s="110"/>
      <c r="Y65" s="110"/>
      <c r="Z65" s="110"/>
      <c r="AA65" s="110"/>
      <c r="AB65" s="140"/>
      <c r="AC65" s="3"/>
      <c r="AD65" s="3"/>
    </row>
    <row r="66" spans="1:30" x14ac:dyDescent="0.25">
      <c r="A66" s="1"/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10"/>
      <c r="W66" s="110"/>
      <c r="X66" s="110"/>
      <c r="Y66" s="110"/>
      <c r="Z66" s="110"/>
      <c r="AA66" s="110"/>
      <c r="AB66" s="140"/>
      <c r="AC66" s="3"/>
      <c r="AD66" s="3"/>
    </row>
    <row r="67" spans="1:30" x14ac:dyDescent="0.25">
      <c r="A67" s="1"/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10"/>
      <c r="W67" s="110"/>
      <c r="X67" s="110"/>
      <c r="Y67" s="110"/>
      <c r="Z67" s="110"/>
      <c r="AA67" s="110"/>
      <c r="AB67" s="140"/>
      <c r="AC67" s="3"/>
      <c r="AD67" s="3"/>
    </row>
    <row r="68" spans="1:30" x14ac:dyDescent="0.25">
      <c r="A68" s="1"/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10"/>
      <c r="W68" s="110"/>
      <c r="X68" s="110"/>
      <c r="Y68" s="110"/>
      <c r="Z68" s="110"/>
      <c r="AA68" s="110"/>
      <c r="AB68" s="140"/>
      <c r="AC68" s="3"/>
      <c r="AD68" s="3"/>
    </row>
    <row r="69" spans="1:30" x14ac:dyDescent="0.25">
      <c r="A69" s="1"/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10"/>
      <c r="W69" s="110"/>
      <c r="X69" s="110"/>
      <c r="Y69" s="110"/>
      <c r="Z69" s="110"/>
      <c r="AA69" s="110"/>
      <c r="AB69" s="140"/>
      <c r="AC69" s="3"/>
      <c r="AD69" s="3"/>
    </row>
    <row r="70" spans="1:30" x14ac:dyDescent="0.25">
      <c r="A70" s="1"/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10"/>
      <c r="W70" s="110"/>
      <c r="X70" s="110"/>
      <c r="Y70" s="110"/>
      <c r="Z70" s="110"/>
      <c r="AA70" s="110"/>
      <c r="AB70" s="140"/>
      <c r="AC70" s="3"/>
      <c r="AD70" s="3"/>
    </row>
    <row r="71" spans="1:30" x14ac:dyDescent="0.25">
      <c r="A71" s="1"/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10"/>
      <c r="W71" s="110"/>
      <c r="X71" s="110"/>
      <c r="Y71" s="110"/>
      <c r="Z71" s="110"/>
      <c r="AA71" s="110"/>
      <c r="AB71" s="140"/>
      <c r="AC71" s="3"/>
      <c r="AD71" s="3"/>
    </row>
    <row r="72" spans="1:30" x14ac:dyDescent="0.25">
      <c r="A72" s="1"/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10"/>
      <c r="W72" s="110"/>
      <c r="X72" s="110"/>
      <c r="Y72" s="110"/>
      <c r="Z72" s="110"/>
      <c r="AA72" s="110"/>
      <c r="AB72" s="140"/>
      <c r="AC72" s="3"/>
      <c r="AD72" s="3"/>
    </row>
    <row r="73" spans="1:30" x14ac:dyDescent="0.25">
      <c r="A73" s="1"/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10"/>
      <c r="W73" s="110"/>
      <c r="X73" s="110"/>
      <c r="Y73" s="110"/>
      <c r="Z73" s="110"/>
      <c r="AA73" s="110"/>
      <c r="AB73" s="140"/>
      <c r="AC73" s="3"/>
      <c r="AD73" s="3"/>
    </row>
    <row r="74" spans="1:30" x14ac:dyDescent="0.25">
      <c r="A74" s="1"/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10"/>
      <c r="W74" s="110"/>
      <c r="X74" s="110"/>
      <c r="Y74" s="110"/>
      <c r="Z74" s="110"/>
      <c r="AA74" s="110"/>
      <c r="AB74" s="140"/>
      <c r="AC74" s="3"/>
      <c r="AD74" s="3"/>
    </row>
    <row r="75" spans="1:30" x14ac:dyDescent="0.25">
      <c r="A75" s="1"/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10"/>
      <c r="W75" s="110"/>
      <c r="X75" s="110"/>
      <c r="Y75" s="110"/>
      <c r="Z75" s="110"/>
      <c r="AA75" s="110"/>
      <c r="AB75" s="140"/>
      <c r="AC75" s="3"/>
      <c r="AD75" s="3"/>
    </row>
    <row r="76" spans="1:30" x14ac:dyDescent="0.25">
      <c r="A76" s="1"/>
      <c r="B76" s="14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10"/>
      <c r="W76" s="110"/>
      <c r="X76" s="110"/>
      <c r="Y76" s="110"/>
      <c r="Z76" s="110"/>
      <c r="AA76" s="110"/>
      <c r="AB76" s="140"/>
      <c r="AC76" s="3"/>
      <c r="AD76" s="3"/>
    </row>
    <row r="77" spans="1:30" x14ac:dyDescent="0.25">
      <c r="A77" s="1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10"/>
      <c r="W77" s="110"/>
      <c r="X77" s="110"/>
      <c r="Y77" s="110"/>
      <c r="Z77" s="110"/>
      <c r="AA77" s="110"/>
      <c r="AB77" s="140"/>
      <c r="AC77" s="3"/>
      <c r="AD77" s="3"/>
    </row>
    <row r="78" spans="1:30" x14ac:dyDescent="0.25">
      <c r="A78" s="1"/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10"/>
      <c r="W78" s="110"/>
      <c r="X78" s="110"/>
      <c r="Y78" s="110"/>
      <c r="Z78" s="110"/>
      <c r="AA78" s="110"/>
      <c r="AB78" s="140"/>
      <c r="AC78" s="3"/>
      <c r="AD78" s="3"/>
    </row>
    <row r="79" spans="1:30" x14ac:dyDescent="0.25">
      <c r="A79" s="1"/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10"/>
      <c r="W79" s="110"/>
      <c r="X79" s="110"/>
      <c r="Y79" s="110"/>
      <c r="Z79" s="110"/>
      <c r="AA79" s="110"/>
      <c r="AB79" s="140"/>
      <c r="AC79" s="3"/>
      <c r="AD79" s="3"/>
    </row>
    <row r="80" spans="1:30" x14ac:dyDescent="0.25">
      <c r="A80" s="1"/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10"/>
      <c r="W80" s="110"/>
      <c r="X80" s="110"/>
      <c r="Y80" s="110"/>
      <c r="Z80" s="110"/>
      <c r="AA80" s="110"/>
      <c r="AB80" s="140"/>
      <c r="AC80" s="3"/>
      <c r="AD80" s="3"/>
    </row>
    <row r="81" spans="1:30" x14ac:dyDescent="0.25">
      <c r="A81" s="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10"/>
      <c r="W81" s="110"/>
      <c r="X81" s="110"/>
      <c r="Y81" s="110"/>
      <c r="Z81" s="110"/>
      <c r="AA81" s="110"/>
      <c r="AB81" s="140"/>
      <c r="AC81" s="3"/>
      <c r="AD81" s="3"/>
    </row>
    <row r="82" spans="1:30" x14ac:dyDescent="0.25">
      <c r="A82" s="1"/>
      <c r="B82" s="925"/>
      <c r="C82" s="921"/>
      <c r="D82" s="921"/>
      <c r="E82" s="921"/>
      <c r="F82" s="921"/>
      <c r="G82" s="921"/>
      <c r="H82" s="921"/>
      <c r="I82" s="921"/>
      <c r="J82" s="921"/>
      <c r="K82" s="921"/>
      <c r="L82" s="921"/>
      <c r="M82" s="921"/>
      <c r="N82" s="921"/>
      <c r="O82" s="921"/>
      <c r="P82" s="921"/>
      <c r="Q82" s="921"/>
      <c r="R82" s="921"/>
      <c r="S82" s="921"/>
      <c r="T82" s="921"/>
      <c r="U82" s="921"/>
      <c r="V82" s="110"/>
      <c r="W82" s="110"/>
      <c r="X82" s="110"/>
      <c r="Y82" s="110"/>
      <c r="Z82" s="110"/>
      <c r="AA82" s="110"/>
      <c r="AB82" s="140"/>
      <c r="AC82" s="3"/>
      <c r="AD82" s="3"/>
    </row>
    <row r="83" spans="1:30" x14ac:dyDescent="0.25">
      <c r="A83" s="1"/>
      <c r="B83" s="143"/>
      <c r="C83" s="162"/>
      <c r="D83" s="162"/>
      <c r="E83" s="16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10"/>
      <c r="W83" s="110"/>
      <c r="X83" s="110"/>
      <c r="Y83" s="110"/>
      <c r="Z83" s="110"/>
      <c r="AA83" s="110"/>
      <c r="AB83" s="140"/>
      <c r="AC83" s="3"/>
      <c r="AD83" s="3"/>
    </row>
    <row r="84" spans="1:30" x14ac:dyDescent="0.25">
      <c r="A84" s="1"/>
      <c r="B84" s="161"/>
      <c r="C84" s="160"/>
      <c r="D84" s="145"/>
      <c r="E84" s="145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10"/>
      <c r="W84" s="110"/>
      <c r="X84" s="110"/>
      <c r="Y84" s="110"/>
      <c r="Z84" s="110"/>
      <c r="AA84" s="110"/>
      <c r="AB84" s="140"/>
      <c r="AC84" s="3"/>
      <c r="AD84" s="3"/>
    </row>
    <row r="85" spans="1:30" x14ac:dyDescent="0.25">
      <c r="A85" s="1"/>
      <c r="B85" s="143"/>
      <c r="C85" s="144"/>
      <c r="D85" s="145"/>
      <c r="E85" s="145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10"/>
      <c r="W85" s="110"/>
      <c r="X85" s="110"/>
      <c r="Y85" s="110"/>
      <c r="Z85" s="110"/>
      <c r="AA85" s="110"/>
      <c r="AB85" s="140"/>
      <c r="AC85" s="3"/>
      <c r="AD85" s="3"/>
    </row>
    <row r="86" spans="1:30" x14ac:dyDescent="0.25">
      <c r="A86" s="1"/>
      <c r="B86" s="143"/>
      <c r="C86" s="144"/>
      <c r="D86" s="145"/>
      <c r="E86" s="145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10"/>
      <c r="W86" s="110"/>
      <c r="X86" s="110"/>
      <c r="Y86" s="110"/>
      <c r="Z86" s="110"/>
      <c r="AA86" s="110"/>
      <c r="AB86" s="140"/>
      <c r="AC86" s="3"/>
      <c r="AD86" s="3"/>
    </row>
    <row r="87" spans="1:30" x14ac:dyDescent="0.25">
      <c r="A87" s="1"/>
      <c r="B87" s="146"/>
      <c r="C87" s="147"/>
      <c r="D87" s="148"/>
      <c r="E87" s="148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50"/>
      <c r="W87" s="150"/>
      <c r="X87" s="150"/>
      <c r="Y87" s="150"/>
      <c r="Z87" s="150"/>
      <c r="AA87" s="150"/>
      <c r="AB87" s="151"/>
      <c r="AC87" s="3"/>
      <c r="AD87" s="3"/>
    </row>
    <row r="88" spans="1:30" x14ac:dyDescent="0.25">
      <c r="A88" s="104"/>
      <c r="B88" s="152"/>
      <c r="C88" s="153"/>
      <c r="D88" s="152"/>
      <c r="E88" s="152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2"/>
      <c r="C89" s="153"/>
      <c r="D89" s="152"/>
      <c r="E89" s="152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5" t="s">
        <v>109</v>
      </c>
      <c r="C91" s="156">
        <v>44855</v>
      </c>
      <c r="D91" s="155" t="s">
        <v>110</v>
      </c>
      <c r="E91" s="921" t="s">
        <v>182</v>
      </c>
      <c r="F91" s="921"/>
      <c r="G91" s="921"/>
      <c r="H91" s="155"/>
      <c r="I91" s="155" t="s">
        <v>112</v>
      </c>
      <c r="J91" s="922" t="s">
        <v>183</v>
      </c>
      <c r="K91" s="922"/>
      <c r="L91" s="922"/>
      <c r="M91" s="922"/>
      <c r="N91" s="155"/>
      <c r="O91" s="155"/>
      <c r="P91" s="155"/>
      <c r="Q91" s="155"/>
      <c r="R91" s="155"/>
      <c r="S91" s="155"/>
      <c r="T91" s="155"/>
      <c r="U91" s="155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5"/>
      <c r="C93" s="155"/>
      <c r="D93" s="155" t="s">
        <v>114</v>
      </c>
      <c r="E93" s="157"/>
      <c r="F93" s="157"/>
      <c r="G93" s="157"/>
      <c r="H93" s="155"/>
      <c r="I93" s="155" t="s">
        <v>114</v>
      </c>
      <c r="J93" s="158"/>
      <c r="K93" s="158"/>
      <c r="L93" s="158"/>
      <c r="M93" s="158"/>
      <c r="N93" s="155"/>
      <c r="O93" s="155"/>
      <c r="P93" s="155"/>
      <c r="Q93" s="155"/>
      <c r="R93" s="155"/>
      <c r="S93" s="155"/>
      <c r="T93" s="155"/>
      <c r="U93" s="155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5"/>
      <c r="C94" s="155"/>
      <c r="D94" s="155"/>
      <c r="E94" s="157"/>
      <c r="F94" s="157"/>
      <c r="G94" s="157"/>
      <c r="H94" s="155"/>
      <c r="I94" s="155"/>
      <c r="J94" s="158"/>
      <c r="K94" s="158"/>
      <c r="L94" s="158"/>
      <c r="M94" s="158"/>
      <c r="N94" s="155"/>
      <c r="O94" s="155"/>
      <c r="P94" s="155"/>
      <c r="Q94" s="155"/>
      <c r="R94" s="155"/>
      <c r="S94" s="155"/>
      <c r="T94" s="155"/>
      <c r="U94" s="155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51" priority="3" operator="equal">
      <formula>0</formula>
    </cfRule>
    <cfRule type="containsErrors" dxfId="50" priority="4">
      <formula>ISERROR(AB15)</formula>
    </cfRule>
  </conditionalFormatting>
  <conditionalFormatting sqref="AB28:AB41">
    <cfRule type="cellIs" dxfId="49" priority="1" operator="equal">
      <formula>0</formula>
    </cfRule>
    <cfRule type="containsErrors" dxfId="48" priority="2">
      <formula>ISERROR(AB28)</formula>
    </cfRule>
  </conditionalFormatting>
  <pageMargins left="0.59055118110236227" right="0" top="1.1811023622047245" bottom="0.78740157480314965" header="0.31496062992125984" footer="0.31496062992125984"/>
  <pageSetup paperSize="8" scale="4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view="pageBreakPreview" zoomScale="80" zoomScaleNormal="80" zoomScaleSheetLayoutView="80" workbookViewId="0">
      <selection activeCell="C68" sqref="C68"/>
    </sheetView>
  </sheetViews>
  <sheetFormatPr defaultColWidth="0" defaultRowHeight="15" zeroHeight="1" x14ac:dyDescent="0.25"/>
  <cols>
    <col min="1" max="1" width="4.5703125" customWidth="1"/>
    <col min="2" max="2" width="9.28515625" customWidth="1"/>
    <col min="3" max="3" width="65.7109375" customWidth="1"/>
    <col min="4" max="4" width="16.5703125" customWidth="1"/>
    <col min="5" max="5" width="17.7109375" bestFit="1" customWidth="1"/>
    <col min="6" max="6" width="16.7109375" bestFit="1" customWidth="1"/>
    <col min="7" max="7" width="21.28515625" bestFit="1" customWidth="1"/>
    <col min="8" max="8" width="14.28515625" customWidth="1"/>
    <col min="9" max="9" width="11.28515625" customWidth="1"/>
    <col min="10" max="10" width="16.28515625" bestFit="1" customWidth="1"/>
    <col min="11" max="11" width="17.7109375" bestFit="1" customWidth="1"/>
    <col min="12" max="12" width="13.7109375" bestFit="1" customWidth="1"/>
    <col min="13" max="13" width="23.42578125" style="159" bestFit="1" customWidth="1"/>
    <col min="14" max="14" width="13.28515625" customWidth="1"/>
    <col min="15" max="15" width="11.28515625" customWidth="1"/>
    <col min="16" max="18" width="16.42578125" customWidth="1"/>
    <col min="19" max="19" width="21.28515625" customWidth="1"/>
    <col min="20" max="20" width="12.42578125" customWidth="1"/>
    <col min="21" max="21" width="10.7109375" bestFit="1" customWidth="1"/>
    <col min="22" max="22" width="16.28515625" bestFit="1" customWidth="1"/>
    <col min="23" max="23" width="14.28515625" bestFit="1" customWidth="1"/>
    <col min="24" max="24" width="13.28515625" bestFit="1" customWidth="1"/>
    <col min="25" max="25" width="21.7109375" customWidth="1"/>
    <col min="26" max="26" width="12.5703125" customWidth="1"/>
    <col min="27" max="27" width="10.7109375" bestFit="1" customWidth="1"/>
    <col min="28" max="28" width="17.7109375" customWidth="1"/>
    <col min="29" max="29" width="5.7109375" customWidth="1"/>
    <col min="30" max="30" width="0" hidden="1" customWidth="1"/>
    <col min="31" max="16384" width="9.28515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198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46789685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27" t="s">
        <v>197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196</v>
      </c>
      <c r="K10" s="883"/>
      <c r="L10" s="883"/>
      <c r="M10" s="883"/>
      <c r="N10" s="883"/>
      <c r="O10" s="884"/>
      <c r="P10" s="882" t="s">
        <v>195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s="498" customFormat="1" ht="16.5" thickBot="1" x14ac:dyDescent="0.3">
      <c r="A14" s="502"/>
      <c r="B14" s="627"/>
      <c r="C14" s="626"/>
      <c r="D14" s="586" t="s">
        <v>20</v>
      </c>
      <c r="E14" s="585" t="s">
        <v>21</v>
      </c>
      <c r="F14" s="585" t="s">
        <v>22</v>
      </c>
      <c r="G14" s="890"/>
      <c r="H14" s="892"/>
      <c r="I14" s="912"/>
      <c r="J14" s="586" t="s">
        <v>20</v>
      </c>
      <c r="K14" s="585" t="s">
        <v>21</v>
      </c>
      <c r="L14" s="585" t="s">
        <v>22</v>
      </c>
      <c r="M14" s="890"/>
      <c r="N14" s="892"/>
      <c r="O14" s="912"/>
      <c r="P14" s="586" t="s">
        <v>20</v>
      </c>
      <c r="Q14" s="585" t="s">
        <v>21</v>
      </c>
      <c r="R14" s="585" t="s">
        <v>22</v>
      </c>
      <c r="S14" s="890"/>
      <c r="T14" s="892"/>
      <c r="U14" s="912"/>
      <c r="V14" s="586" t="s">
        <v>20</v>
      </c>
      <c r="W14" s="585" t="s">
        <v>21</v>
      </c>
      <c r="X14" s="585" t="s">
        <v>22</v>
      </c>
      <c r="Y14" s="890"/>
      <c r="Z14" s="892"/>
      <c r="AA14" s="912"/>
      <c r="AB14" s="902"/>
      <c r="AC14" s="499"/>
      <c r="AD14" s="499"/>
    </row>
    <row r="15" spans="1:30" s="498" customFormat="1" ht="15.75" x14ac:dyDescent="0.25">
      <c r="A15" s="502"/>
      <c r="B15" s="583" t="s">
        <v>23</v>
      </c>
      <c r="C15" s="625" t="s">
        <v>24</v>
      </c>
      <c r="D15" s="624"/>
      <c r="E15" s="623"/>
      <c r="F15" s="622">
        <v>2000</v>
      </c>
      <c r="G15" s="621">
        <f>SUM(D15:F15)</f>
        <v>2000</v>
      </c>
      <c r="H15" s="612">
        <v>0</v>
      </c>
      <c r="I15" s="565">
        <f t="shared" ref="I15:I23" si="0">G15+H15</f>
        <v>2000</v>
      </c>
      <c r="J15" s="624"/>
      <c r="K15" s="623"/>
      <c r="L15" s="622">
        <v>2000</v>
      </c>
      <c r="M15" s="621">
        <f t="shared" ref="M15:M24" si="1">SUM(J15:L15)</f>
        <v>2000</v>
      </c>
      <c r="N15" s="612">
        <v>0</v>
      </c>
      <c r="O15" s="565">
        <f t="shared" ref="O15:O23" si="2">M15+N15</f>
        <v>2000</v>
      </c>
      <c r="P15" s="624"/>
      <c r="Q15" s="623"/>
      <c r="R15" s="622">
        <v>1270.9000000000001</v>
      </c>
      <c r="S15" s="621">
        <f t="shared" ref="S15:S24" si="3">SUM(P15:R15)</f>
        <v>1270.9000000000001</v>
      </c>
      <c r="T15" s="612">
        <v>0</v>
      </c>
      <c r="U15" s="565">
        <f t="shared" ref="U15:U23" si="4">S15+T15</f>
        <v>1270.9000000000001</v>
      </c>
      <c r="V15" s="624"/>
      <c r="W15" s="623"/>
      <c r="X15" s="622">
        <v>2100</v>
      </c>
      <c r="Y15" s="621">
        <f t="shared" ref="Y15:Y24" si="5">SUM(V15:X15)</f>
        <v>2100</v>
      </c>
      <c r="Z15" s="612">
        <v>0</v>
      </c>
      <c r="AA15" s="565">
        <f t="shared" ref="AA15:AA23" si="6">Y15+Z15</f>
        <v>2100</v>
      </c>
      <c r="AB15" s="535">
        <f t="shared" ref="AB15:AB24" si="7">(AA15/O15)</f>
        <v>1.05</v>
      </c>
      <c r="AC15" s="499"/>
      <c r="AD15" s="499"/>
    </row>
    <row r="16" spans="1:30" s="498" customFormat="1" ht="15.75" x14ac:dyDescent="0.25">
      <c r="A16" s="502"/>
      <c r="B16" s="569" t="s">
        <v>25</v>
      </c>
      <c r="C16" s="620" t="s">
        <v>26</v>
      </c>
      <c r="D16" s="619">
        <v>4697.8</v>
      </c>
      <c r="E16" s="605"/>
      <c r="F16" s="605"/>
      <c r="G16" s="603">
        <f>SUM(D16:F16)</f>
        <v>4697.8</v>
      </c>
      <c r="H16" s="618"/>
      <c r="I16" s="565">
        <f t="shared" si="0"/>
        <v>4697.8</v>
      </c>
      <c r="J16" s="619">
        <v>5294.5</v>
      </c>
      <c r="K16" s="605"/>
      <c r="L16" s="605"/>
      <c r="M16" s="603">
        <f t="shared" si="1"/>
        <v>5294.5</v>
      </c>
      <c r="N16" s="618"/>
      <c r="O16" s="565">
        <f t="shared" si="2"/>
        <v>5294.5</v>
      </c>
      <c r="P16" s="619">
        <v>2654.5</v>
      </c>
      <c r="Q16" s="605"/>
      <c r="R16" s="605"/>
      <c r="S16" s="603">
        <f t="shared" si="3"/>
        <v>2654.5</v>
      </c>
      <c r="T16" s="618"/>
      <c r="U16" s="565">
        <f t="shared" si="4"/>
        <v>2654.5</v>
      </c>
      <c r="V16" s="619">
        <v>6105.1</v>
      </c>
      <c r="W16" s="605"/>
      <c r="X16" s="605"/>
      <c r="Y16" s="603">
        <f t="shared" si="5"/>
        <v>6105.1</v>
      </c>
      <c r="Z16" s="618"/>
      <c r="AA16" s="565">
        <f t="shared" si="6"/>
        <v>6105.1</v>
      </c>
      <c r="AB16" s="535">
        <f t="shared" si="7"/>
        <v>1.1531022759467373</v>
      </c>
      <c r="AC16" s="499"/>
      <c r="AD16" s="499"/>
    </row>
    <row r="17" spans="1:30" s="498" customFormat="1" ht="15.75" x14ac:dyDescent="0.25">
      <c r="A17" s="502"/>
      <c r="B17" s="569" t="s">
        <v>27</v>
      </c>
      <c r="C17" s="617" t="s">
        <v>28</v>
      </c>
      <c r="D17" s="616">
        <v>426.1</v>
      </c>
      <c r="E17" s="610"/>
      <c r="F17" s="610"/>
      <c r="G17" s="603">
        <f>SUM(D17:F17)</f>
        <v>426.1</v>
      </c>
      <c r="H17" s="615"/>
      <c r="I17" s="565">
        <f t="shared" si="0"/>
        <v>426.1</v>
      </c>
      <c r="J17" s="616">
        <v>1825.3</v>
      </c>
      <c r="K17" s="610"/>
      <c r="L17" s="610"/>
      <c r="M17" s="603">
        <f t="shared" si="1"/>
        <v>1825.3</v>
      </c>
      <c r="N17" s="615"/>
      <c r="O17" s="565">
        <f t="shared" si="2"/>
        <v>1825.3</v>
      </c>
      <c r="P17" s="616">
        <v>328.7</v>
      </c>
      <c r="Q17" s="610"/>
      <c r="R17" s="610"/>
      <c r="S17" s="603">
        <f t="shared" si="3"/>
        <v>328.7</v>
      </c>
      <c r="T17" s="615"/>
      <c r="U17" s="565">
        <f t="shared" si="4"/>
        <v>328.7</v>
      </c>
      <c r="V17" s="616">
        <v>332.6</v>
      </c>
      <c r="W17" s="610"/>
      <c r="X17" s="610"/>
      <c r="Y17" s="603">
        <f t="shared" si="5"/>
        <v>332.6</v>
      </c>
      <c r="Z17" s="615"/>
      <c r="AA17" s="565">
        <f t="shared" si="6"/>
        <v>332.6</v>
      </c>
      <c r="AB17" s="535">
        <f t="shared" si="7"/>
        <v>0.182216621925163</v>
      </c>
      <c r="AC17" s="499"/>
      <c r="AD17" s="499"/>
    </row>
    <row r="18" spans="1:30" s="498" customFormat="1" ht="15.75" x14ac:dyDescent="0.25">
      <c r="A18" s="502"/>
      <c r="B18" s="569" t="s">
        <v>29</v>
      </c>
      <c r="C18" s="614" t="s">
        <v>30</v>
      </c>
      <c r="D18" s="606"/>
      <c r="E18" s="613">
        <v>45502</v>
      </c>
      <c r="F18" s="610"/>
      <c r="G18" s="603">
        <f>SUM(D18:F18)</f>
        <v>45502</v>
      </c>
      <c r="H18" s="612"/>
      <c r="I18" s="565">
        <f t="shared" si="0"/>
        <v>45502</v>
      </c>
      <c r="J18" s="606"/>
      <c r="K18" s="613">
        <v>49154.8</v>
      </c>
      <c r="L18" s="610"/>
      <c r="M18" s="603">
        <f t="shared" si="1"/>
        <v>49154.8</v>
      </c>
      <c r="N18" s="612"/>
      <c r="O18" s="565">
        <f t="shared" si="2"/>
        <v>49154.8</v>
      </c>
      <c r="P18" s="606"/>
      <c r="Q18" s="613">
        <v>26481.4</v>
      </c>
      <c r="R18" s="610"/>
      <c r="S18" s="603">
        <f t="shared" si="3"/>
        <v>26481.4</v>
      </c>
      <c r="T18" s="612"/>
      <c r="U18" s="565">
        <f t="shared" si="4"/>
        <v>26481.4</v>
      </c>
      <c r="V18" s="606"/>
      <c r="W18" s="613">
        <v>50000</v>
      </c>
      <c r="X18" s="610"/>
      <c r="Y18" s="603">
        <f t="shared" si="5"/>
        <v>50000</v>
      </c>
      <c r="Z18" s="612"/>
      <c r="AA18" s="565">
        <f t="shared" si="6"/>
        <v>50000</v>
      </c>
      <c r="AB18" s="535">
        <f t="shared" si="7"/>
        <v>1.0171946585074092</v>
      </c>
      <c r="AC18" s="499"/>
      <c r="AD18" s="499"/>
    </row>
    <row r="19" spans="1:30" s="498" customFormat="1" ht="15.75" x14ac:dyDescent="0.25">
      <c r="A19" s="502"/>
      <c r="B19" s="569" t="s">
        <v>31</v>
      </c>
      <c r="C19" s="573" t="s">
        <v>32</v>
      </c>
      <c r="D19" s="611"/>
      <c r="E19" s="610"/>
      <c r="F19" s="609">
        <v>957</v>
      </c>
      <c r="G19" s="603">
        <f>SUM(D19:F19)</f>
        <v>957</v>
      </c>
      <c r="H19" s="607"/>
      <c r="I19" s="565">
        <f t="shared" si="0"/>
        <v>957</v>
      </c>
      <c r="J19" s="611"/>
      <c r="K19" s="610"/>
      <c r="L19" s="609">
        <v>957</v>
      </c>
      <c r="M19" s="603">
        <f t="shared" si="1"/>
        <v>957</v>
      </c>
      <c r="N19" s="607"/>
      <c r="O19" s="565">
        <f t="shared" si="2"/>
        <v>957</v>
      </c>
      <c r="P19" s="611"/>
      <c r="Q19" s="610"/>
      <c r="R19" s="609">
        <v>482.6</v>
      </c>
      <c r="S19" s="603">
        <f t="shared" si="3"/>
        <v>482.6</v>
      </c>
      <c r="T19" s="607"/>
      <c r="U19" s="565">
        <f t="shared" si="4"/>
        <v>482.6</v>
      </c>
      <c r="V19" s="611"/>
      <c r="W19" s="610"/>
      <c r="X19" s="609">
        <v>957</v>
      </c>
      <c r="Y19" s="603">
        <f t="shared" si="5"/>
        <v>957</v>
      </c>
      <c r="Z19" s="607"/>
      <c r="AA19" s="565">
        <f t="shared" si="6"/>
        <v>957</v>
      </c>
      <c r="AB19" s="535">
        <f t="shared" si="7"/>
        <v>1</v>
      </c>
      <c r="AC19" s="499"/>
      <c r="AD19" s="499"/>
    </row>
    <row r="20" spans="1:30" s="498" customFormat="1" ht="15.75" x14ac:dyDescent="0.25">
      <c r="A20" s="502"/>
      <c r="B20" s="569" t="s">
        <v>33</v>
      </c>
      <c r="C20" s="608" t="s">
        <v>34</v>
      </c>
      <c r="D20" s="606"/>
      <c r="E20" s="605"/>
      <c r="F20" s="604"/>
      <c r="G20" s="603"/>
      <c r="H20" s="607"/>
      <c r="I20" s="565">
        <f t="shared" si="0"/>
        <v>0</v>
      </c>
      <c r="J20" s="606"/>
      <c r="K20" s="605"/>
      <c r="L20" s="604"/>
      <c r="M20" s="603">
        <f t="shared" si="1"/>
        <v>0</v>
      </c>
      <c r="N20" s="607"/>
      <c r="O20" s="565">
        <f t="shared" si="2"/>
        <v>0</v>
      </c>
      <c r="P20" s="606"/>
      <c r="Q20" s="605"/>
      <c r="R20" s="604"/>
      <c r="S20" s="603">
        <f t="shared" si="3"/>
        <v>0</v>
      </c>
      <c r="T20" s="607"/>
      <c r="U20" s="565">
        <f t="shared" si="4"/>
        <v>0</v>
      </c>
      <c r="V20" s="606"/>
      <c r="W20" s="605"/>
      <c r="X20" s="604"/>
      <c r="Y20" s="603">
        <f t="shared" si="5"/>
        <v>0</v>
      </c>
      <c r="Z20" s="607"/>
      <c r="AA20" s="565">
        <f t="shared" si="6"/>
        <v>0</v>
      </c>
      <c r="AB20" s="535" t="e">
        <f t="shared" si="7"/>
        <v>#DIV/0!</v>
      </c>
      <c r="AC20" s="499"/>
      <c r="AD20" s="499"/>
    </row>
    <row r="21" spans="1:30" s="498" customFormat="1" ht="15.75" x14ac:dyDescent="0.25">
      <c r="A21" s="502"/>
      <c r="B21" s="569" t="s">
        <v>35</v>
      </c>
      <c r="C21" s="568" t="s">
        <v>36</v>
      </c>
      <c r="D21" s="606"/>
      <c r="E21" s="605"/>
      <c r="F21" s="604">
        <v>2000</v>
      </c>
      <c r="G21" s="603">
        <f>SUM(D21:F21)</f>
        <v>2000</v>
      </c>
      <c r="H21" s="602"/>
      <c r="I21" s="565">
        <f t="shared" si="0"/>
        <v>2000</v>
      </c>
      <c r="J21" s="606"/>
      <c r="K21" s="605"/>
      <c r="L21" s="604">
        <v>1500</v>
      </c>
      <c r="M21" s="603">
        <f t="shared" si="1"/>
        <v>1500</v>
      </c>
      <c r="N21" s="602"/>
      <c r="O21" s="565">
        <f t="shared" si="2"/>
        <v>1500</v>
      </c>
      <c r="P21" s="606"/>
      <c r="Q21" s="605"/>
      <c r="R21" s="604">
        <v>606.1</v>
      </c>
      <c r="S21" s="603">
        <f t="shared" si="3"/>
        <v>606.1</v>
      </c>
      <c r="T21" s="602"/>
      <c r="U21" s="565">
        <f t="shared" si="4"/>
        <v>606.1</v>
      </c>
      <c r="V21" s="606"/>
      <c r="W21" s="605"/>
      <c r="X21" s="604">
        <v>1500</v>
      </c>
      <c r="Y21" s="603">
        <f t="shared" si="5"/>
        <v>1500</v>
      </c>
      <c r="Z21" s="602"/>
      <c r="AA21" s="565">
        <f t="shared" si="6"/>
        <v>1500</v>
      </c>
      <c r="AB21" s="535">
        <f t="shared" si="7"/>
        <v>1</v>
      </c>
      <c r="AC21" s="499"/>
      <c r="AD21" s="499"/>
    </row>
    <row r="22" spans="1:30" s="498" customFormat="1" ht="15.75" x14ac:dyDescent="0.25">
      <c r="A22" s="502"/>
      <c r="B22" s="569" t="s">
        <v>37</v>
      </c>
      <c r="C22" s="568" t="s">
        <v>38</v>
      </c>
      <c r="D22" s="606"/>
      <c r="E22" s="605"/>
      <c r="F22" s="604">
        <v>200</v>
      </c>
      <c r="G22" s="603">
        <f>SUM(D22:F22)</f>
        <v>200</v>
      </c>
      <c r="H22" s="602"/>
      <c r="I22" s="565">
        <f t="shared" si="0"/>
        <v>200</v>
      </c>
      <c r="J22" s="606"/>
      <c r="K22" s="605"/>
      <c r="L22" s="604">
        <v>250</v>
      </c>
      <c r="M22" s="603">
        <f t="shared" si="1"/>
        <v>250</v>
      </c>
      <c r="N22" s="602"/>
      <c r="O22" s="565">
        <f t="shared" si="2"/>
        <v>250</v>
      </c>
      <c r="P22" s="606"/>
      <c r="Q22" s="605"/>
      <c r="R22" s="604">
        <v>88</v>
      </c>
      <c r="S22" s="603">
        <f t="shared" si="3"/>
        <v>88</v>
      </c>
      <c r="T22" s="602"/>
      <c r="U22" s="565">
        <f t="shared" si="4"/>
        <v>88</v>
      </c>
      <c r="V22" s="606"/>
      <c r="W22" s="605"/>
      <c r="X22" s="604">
        <v>300</v>
      </c>
      <c r="Y22" s="603">
        <f t="shared" si="5"/>
        <v>300</v>
      </c>
      <c r="Z22" s="602"/>
      <c r="AA22" s="565">
        <f t="shared" si="6"/>
        <v>300</v>
      </c>
      <c r="AB22" s="535">
        <f t="shared" si="7"/>
        <v>1.2</v>
      </c>
      <c r="AC22" s="499"/>
      <c r="AD22" s="499"/>
    </row>
    <row r="23" spans="1:30" s="498" customFormat="1" ht="16.5" thickBot="1" x14ac:dyDescent="0.3">
      <c r="A23" s="502"/>
      <c r="B23" s="601" t="s">
        <v>39</v>
      </c>
      <c r="C23" s="600" t="s">
        <v>40</v>
      </c>
      <c r="D23" s="599"/>
      <c r="E23" s="598"/>
      <c r="F23" s="597"/>
      <c r="G23" s="596">
        <f>SUM(D23:F23)</f>
        <v>0</v>
      </c>
      <c r="H23" s="595"/>
      <c r="I23" s="558">
        <f t="shared" si="0"/>
        <v>0</v>
      </c>
      <c r="J23" s="599"/>
      <c r="K23" s="598"/>
      <c r="L23" s="597"/>
      <c r="M23" s="596">
        <f t="shared" si="1"/>
        <v>0</v>
      </c>
      <c r="N23" s="595"/>
      <c r="O23" s="558">
        <f t="shared" si="2"/>
        <v>0</v>
      </c>
      <c r="P23" s="599"/>
      <c r="Q23" s="598"/>
      <c r="R23" s="597"/>
      <c r="S23" s="596">
        <f t="shared" si="3"/>
        <v>0</v>
      </c>
      <c r="T23" s="595"/>
      <c r="U23" s="558">
        <f t="shared" si="4"/>
        <v>0</v>
      </c>
      <c r="V23" s="599"/>
      <c r="W23" s="598"/>
      <c r="X23" s="597"/>
      <c r="Y23" s="596">
        <f t="shared" si="5"/>
        <v>0</v>
      </c>
      <c r="Z23" s="595"/>
      <c r="AA23" s="558">
        <f t="shared" si="6"/>
        <v>0</v>
      </c>
      <c r="AB23" s="557" t="e">
        <f t="shared" si="7"/>
        <v>#DIV/0!</v>
      </c>
      <c r="AC23" s="499"/>
      <c r="AD23" s="499"/>
    </row>
    <row r="24" spans="1:30" s="498" customFormat="1" ht="16.5" thickBot="1" x14ac:dyDescent="0.3">
      <c r="A24" s="502"/>
      <c r="B24" s="556" t="s">
        <v>41</v>
      </c>
      <c r="C24" s="594" t="s">
        <v>42</v>
      </c>
      <c r="D24" s="593">
        <f>SUM(D15:D21)</f>
        <v>5123.9000000000005</v>
      </c>
      <c r="E24" s="592">
        <f>SUM(E15:E21)</f>
        <v>45502</v>
      </c>
      <c r="F24" s="592">
        <f>SUM(F15:F21)</f>
        <v>4957</v>
      </c>
      <c r="G24" s="591">
        <f>SUM(D24:F24)</f>
        <v>55582.9</v>
      </c>
      <c r="H24" s="590">
        <f>SUM(H15:H21)</f>
        <v>0</v>
      </c>
      <c r="I24" s="590">
        <f>SUM(I15:I21)</f>
        <v>55582.9</v>
      </c>
      <c r="J24" s="593">
        <f>SUM(J15:J21)</f>
        <v>7119.8</v>
      </c>
      <c r="K24" s="592">
        <f>SUM(K15:K21)</f>
        <v>49154.8</v>
      </c>
      <c r="L24" s="592">
        <f>SUM(L15:L21)</f>
        <v>4457</v>
      </c>
      <c r="M24" s="591">
        <f t="shared" si="1"/>
        <v>60731.600000000006</v>
      </c>
      <c r="N24" s="590">
        <f>SUM(N15:N21)</f>
        <v>0</v>
      </c>
      <c r="O24" s="590">
        <f>SUM(O15:O21)</f>
        <v>60731.600000000006</v>
      </c>
      <c r="P24" s="593">
        <f>SUM(P15:P21)</f>
        <v>2983.2</v>
      </c>
      <c r="Q24" s="592">
        <f>SUM(Q15:Q21)</f>
        <v>26481.4</v>
      </c>
      <c r="R24" s="592">
        <f>SUM(R15:R21)</f>
        <v>2359.6</v>
      </c>
      <c r="S24" s="591">
        <f t="shared" si="3"/>
        <v>31824.2</v>
      </c>
      <c r="T24" s="590">
        <f>SUM(T15:T21)</f>
        <v>0</v>
      </c>
      <c r="U24" s="590">
        <f>SUM(U15:U21)</f>
        <v>31824.199999999997</v>
      </c>
      <c r="V24" s="593">
        <f>SUM(V15:V21)</f>
        <v>6437.7000000000007</v>
      </c>
      <c r="W24" s="592">
        <f>SUM(W15:W21)</f>
        <v>50000</v>
      </c>
      <c r="X24" s="592">
        <f>SUM(X15:X21)</f>
        <v>4557</v>
      </c>
      <c r="Y24" s="591">
        <f t="shared" si="5"/>
        <v>60994.7</v>
      </c>
      <c r="Z24" s="590">
        <f>SUM(Z15:Z21)</f>
        <v>0</v>
      </c>
      <c r="AA24" s="590">
        <f>SUM(AA15:AA21)</f>
        <v>60994.7</v>
      </c>
      <c r="AB24" s="589">
        <f t="shared" si="7"/>
        <v>1.00433217632995</v>
      </c>
      <c r="AC24" s="499"/>
      <c r="AD24" s="499"/>
    </row>
    <row r="25" spans="1:30" s="498" customFormat="1" ht="15.75" customHeight="1" thickBot="1" x14ac:dyDescent="0.3">
      <c r="A25" s="502"/>
      <c r="B25" s="588"/>
      <c r="C25" s="587"/>
      <c r="D25" s="938" t="s">
        <v>43</v>
      </c>
      <c r="E25" s="939"/>
      <c r="F25" s="939"/>
      <c r="G25" s="940"/>
      <c r="H25" s="940"/>
      <c r="I25" s="941"/>
      <c r="J25" s="938" t="s">
        <v>43</v>
      </c>
      <c r="K25" s="939"/>
      <c r="L25" s="939"/>
      <c r="M25" s="940"/>
      <c r="N25" s="940"/>
      <c r="O25" s="941"/>
      <c r="P25" s="938" t="s">
        <v>43</v>
      </c>
      <c r="Q25" s="939"/>
      <c r="R25" s="939"/>
      <c r="S25" s="940"/>
      <c r="T25" s="940"/>
      <c r="U25" s="941"/>
      <c r="V25" s="938" t="s">
        <v>43</v>
      </c>
      <c r="W25" s="939"/>
      <c r="X25" s="939"/>
      <c r="Y25" s="940"/>
      <c r="Z25" s="940"/>
      <c r="AA25" s="941"/>
      <c r="AB25" s="942" t="s">
        <v>12</v>
      </c>
      <c r="AC25" s="499"/>
      <c r="AD25" s="499"/>
    </row>
    <row r="26" spans="1:30" s="498" customFormat="1" ht="16.5" thickBot="1" x14ac:dyDescent="0.3">
      <c r="A26" s="502"/>
      <c r="B26" s="961" t="s">
        <v>6</v>
      </c>
      <c r="C26" s="958" t="s">
        <v>7</v>
      </c>
      <c r="D26" s="945" t="s">
        <v>194</v>
      </c>
      <c r="E26" s="946"/>
      <c r="F26" s="946"/>
      <c r="G26" s="949" t="s">
        <v>45</v>
      </c>
      <c r="H26" s="951" t="s">
        <v>46</v>
      </c>
      <c r="I26" s="947" t="s">
        <v>43</v>
      </c>
      <c r="J26" s="945" t="s">
        <v>194</v>
      </c>
      <c r="K26" s="946"/>
      <c r="L26" s="946"/>
      <c r="M26" s="949" t="s">
        <v>45</v>
      </c>
      <c r="N26" s="951" t="s">
        <v>46</v>
      </c>
      <c r="O26" s="947" t="s">
        <v>43</v>
      </c>
      <c r="P26" s="945" t="s">
        <v>194</v>
      </c>
      <c r="Q26" s="946"/>
      <c r="R26" s="946"/>
      <c r="S26" s="949" t="s">
        <v>45</v>
      </c>
      <c r="T26" s="951" t="s">
        <v>46</v>
      </c>
      <c r="U26" s="947" t="s">
        <v>43</v>
      </c>
      <c r="V26" s="945" t="s">
        <v>194</v>
      </c>
      <c r="W26" s="946"/>
      <c r="X26" s="946"/>
      <c r="Y26" s="949" t="s">
        <v>45</v>
      </c>
      <c r="Z26" s="951" t="s">
        <v>46</v>
      </c>
      <c r="AA26" s="947" t="s">
        <v>43</v>
      </c>
      <c r="AB26" s="943"/>
      <c r="AC26" s="499"/>
      <c r="AD26" s="499"/>
    </row>
    <row r="27" spans="1:30" s="498" customFormat="1" ht="16.5" thickBot="1" x14ac:dyDescent="0.3">
      <c r="A27" s="502"/>
      <c r="B27" s="962"/>
      <c r="C27" s="959"/>
      <c r="D27" s="586" t="s">
        <v>47</v>
      </c>
      <c r="E27" s="585" t="s">
        <v>48</v>
      </c>
      <c r="F27" s="584" t="s">
        <v>49</v>
      </c>
      <c r="G27" s="950"/>
      <c r="H27" s="952"/>
      <c r="I27" s="948"/>
      <c r="J27" s="586" t="s">
        <v>47</v>
      </c>
      <c r="K27" s="585" t="s">
        <v>48</v>
      </c>
      <c r="L27" s="584" t="s">
        <v>49</v>
      </c>
      <c r="M27" s="950"/>
      <c r="N27" s="952"/>
      <c r="O27" s="948"/>
      <c r="P27" s="586" t="s">
        <v>47</v>
      </c>
      <c r="Q27" s="585" t="s">
        <v>48</v>
      </c>
      <c r="R27" s="584" t="s">
        <v>49</v>
      </c>
      <c r="S27" s="950"/>
      <c r="T27" s="952"/>
      <c r="U27" s="948"/>
      <c r="V27" s="586" t="s">
        <v>47</v>
      </c>
      <c r="W27" s="585" t="s">
        <v>48</v>
      </c>
      <c r="X27" s="584" t="s">
        <v>49</v>
      </c>
      <c r="Y27" s="950"/>
      <c r="Z27" s="952"/>
      <c r="AA27" s="948"/>
      <c r="AB27" s="944"/>
      <c r="AC27" s="499"/>
      <c r="AD27" s="499"/>
    </row>
    <row r="28" spans="1:30" s="498" customFormat="1" ht="15.75" x14ac:dyDescent="0.25">
      <c r="A28" s="502"/>
      <c r="B28" s="583" t="s">
        <v>50</v>
      </c>
      <c r="C28" s="582" t="s">
        <v>51</v>
      </c>
      <c r="D28" s="580">
        <v>285</v>
      </c>
      <c r="E28" s="580"/>
      <c r="F28" s="580">
        <v>100</v>
      </c>
      <c r="G28" s="579">
        <f t="shared" ref="G28:G39" si="8">SUM(D28:F28)</f>
        <v>385</v>
      </c>
      <c r="H28" s="579"/>
      <c r="I28" s="578">
        <f t="shared" ref="I28:I38" si="9">G28+H28</f>
        <v>385</v>
      </c>
      <c r="J28" s="581">
        <v>350</v>
      </c>
      <c r="K28" s="580"/>
      <c r="L28" s="580">
        <v>100</v>
      </c>
      <c r="M28" s="579">
        <f t="shared" ref="M28:M39" si="10">SUM(J28:L28)</f>
        <v>450</v>
      </c>
      <c r="N28" s="579"/>
      <c r="O28" s="578">
        <f t="shared" ref="O28:O38" si="11">M28+N28</f>
        <v>450</v>
      </c>
      <c r="P28" s="581">
        <v>27.2</v>
      </c>
      <c r="Q28" s="580"/>
      <c r="R28" s="580"/>
      <c r="S28" s="579">
        <f t="shared" ref="S28:S39" si="12">SUM(P28:R28)</f>
        <v>27.2</v>
      </c>
      <c r="T28" s="579"/>
      <c r="U28" s="578">
        <f t="shared" ref="U28:U38" si="13">S28+T28</f>
        <v>27.2</v>
      </c>
      <c r="V28" s="581">
        <v>385</v>
      </c>
      <c r="W28" s="580"/>
      <c r="X28" s="580">
        <v>110</v>
      </c>
      <c r="Y28" s="579">
        <f t="shared" ref="Y28:Y39" si="14">SUM(V28:X28)</f>
        <v>495</v>
      </c>
      <c r="Z28" s="579"/>
      <c r="AA28" s="578">
        <f t="shared" ref="AA28:AA38" si="15">Y28+Z28</f>
        <v>495</v>
      </c>
      <c r="AB28" s="535">
        <f t="shared" ref="AB28:AB41" si="16">(AA28/O28)</f>
        <v>1.1000000000000001</v>
      </c>
      <c r="AC28" s="499"/>
      <c r="AD28" s="499"/>
    </row>
    <row r="29" spans="1:30" s="498" customFormat="1" ht="15.75" x14ac:dyDescent="0.25">
      <c r="A29" s="502"/>
      <c r="B29" s="569" t="s">
        <v>52</v>
      </c>
      <c r="C29" s="577" t="s">
        <v>53</v>
      </c>
      <c r="D29" s="575">
        <v>652</v>
      </c>
      <c r="E29" s="575"/>
      <c r="F29" s="575">
        <v>1900</v>
      </c>
      <c r="G29" s="562">
        <f t="shared" si="8"/>
        <v>2552</v>
      </c>
      <c r="H29" s="574"/>
      <c r="I29" s="565">
        <f t="shared" si="9"/>
        <v>2552</v>
      </c>
      <c r="J29" s="576">
        <v>898.4</v>
      </c>
      <c r="K29" s="575"/>
      <c r="L29" s="575">
        <v>1900</v>
      </c>
      <c r="M29" s="562">
        <f t="shared" si="10"/>
        <v>2798.4</v>
      </c>
      <c r="N29" s="574"/>
      <c r="O29" s="565">
        <f t="shared" si="11"/>
        <v>2798.4</v>
      </c>
      <c r="P29" s="576">
        <v>307.89999999999998</v>
      </c>
      <c r="Q29" s="575">
        <v>254.4</v>
      </c>
      <c r="R29" s="575">
        <v>1135</v>
      </c>
      <c r="S29" s="562">
        <f t="shared" si="12"/>
        <v>1697.3</v>
      </c>
      <c r="T29" s="574"/>
      <c r="U29" s="565">
        <f t="shared" si="13"/>
        <v>1697.3</v>
      </c>
      <c r="V29" s="576">
        <v>1058</v>
      </c>
      <c r="W29" s="575"/>
      <c r="X29" s="575">
        <v>1950</v>
      </c>
      <c r="Y29" s="562">
        <f t="shared" si="14"/>
        <v>3008</v>
      </c>
      <c r="Z29" s="574"/>
      <c r="AA29" s="565">
        <f t="shared" si="15"/>
        <v>3008</v>
      </c>
      <c r="AB29" s="535">
        <f t="shared" si="16"/>
        <v>1.074899942824471</v>
      </c>
      <c r="AC29" s="499"/>
      <c r="AD29" s="499"/>
    </row>
    <row r="30" spans="1:30" s="498" customFormat="1" ht="15.75" x14ac:dyDescent="0.25">
      <c r="A30" s="502"/>
      <c r="B30" s="569" t="s">
        <v>54</v>
      </c>
      <c r="C30" s="568" t="s">
        <v>55</v>
      </c>
      <c r="D30" s="566">
        <v>2200</v>
      </c>
      <c r="E30" s="566"/>
      <c r="F30" s="566">
        <v>0</v>
      </c>
      <c r="G30" s="562">
        <f t="shared" si="8"/>
        <v>2200</v>
      </c>
      <c r="H30" s="562"/>
      <c r="I30" s="565">
        <f t="shared" si="9"/>
        <v>2200</v>
      </c>
      <c r="J30" s="567">
        <v>3911.1</v>
      </c>
      <c r="K30" s="566"/>
      <c r="L30" s="566">
        <v>200</v>
      </c>
      <c r="M30" s="562">
        <f t="shared" si="10"/>
        <v>4111.1000000000004</v>
      </c>
      <c r="N30" s="562"/>
      <c r="O30" s="565">
        <f t="shared" si="11"/>
        <v>4111.1000000000004</v>
      </c>
      <c r="P30" s="567">
        <v>1281.9000000000001</v>
      </c>
      <c r="Q30" s="566"/>
      <c r="R30" s="566"/>
      <c r="S30" s="562">
        <f t="shared" si="12"/>
        <v>1281.9000000000001</v>
      </c>
      <c r="T30" s="562"/>
      <c r="U30" s="565">
        <f t="shared" si="13"/>
        <v>1281.9000000000001</v>
      </c>
      <c r="V30" s="567">
        <v>2911.1</v>
      </c>
      <c r="W30" s="566"/>
      <c r="X30" s="566">
        <v>210</v>
      </c>
      <c r="Y30" s="562">
        <f t="shared" si="14"/>
        <v>3121.1</v>
      </c>
      <c r="Z30" s="562"/>
      <c r="AA30" s="565">
        <f t="shared" si="15"/>
        <v>3121.1</v>
      </c>
      <c r="AB30" s="535">
        <f t="shared" si="16"/>
        <v>0.75918853834740085</v>
      </c>
      <c r="AC30" s="499"/>
      <c r="AD30" s="499"/>
    </row>
    <row r="31" spans="1:30" s="498" customFormat="1" ht="15.75" x14ac:dyDescent="0.25">
      <c r="A31" s="502"/>
      <c r="B31" s="569" t="s">
        <v>56</v>
      </c>
      <c r="C31" s="568" t="s">
        <v>57</v>
      </c>
      <c r="D31" s="566">
        <v>335</v>
      </c>
      <c r="E31" s="566"/>
      <c r="F31" s="566">
        <v>1600</v>
      </c>
      <c r="G31" s="562">
        <f t="shared" si="8"/>
        <v>1935</v>
      </c>
      <c r="H31" s="562"/>
      <c r="I31" s="565">
        <f t="shared" si="9"/>
        <v>1935</v>
      </c>
      <c r="J31" s="567">
        <v>600</v>
      </c>
      <c r="K31" s="566"/>
      <c r="L31" s="566">
        <v>1160</v>
      </c>
      <c r="M31" s="562">
        <f t="shared" si="10"/>
        <v>1760</v>
      </c>
      <c r="N31" s="562"/>
      <c r="O31" s="565">
        <f t="shared" si="11"/>
        <v>1760</v>
      </c>
      <c r="P31" s="567">
        <v>400.3</v>
      </c>
      <c r="Q31" s="566">
        <v>90</v>
      </c>
      <c r="R31" s="566">
        <v>346.2</v>
      </c>
      <c r="S31" s="562">
        <f t="shared" si="12"/>
        <v>836.5</v>
      </c>
      <c r="T31" s="562"/>
      <c r="U31" s="565">
        <f t="shared" si="13"/>
        <v>836.5</v>
      </c>
      <c r="V31" s="567">
        <v>679.1</v>
      </c>
      <c r="W31" s="566"/>
      <c r="X31" s="566">
        <v>1180</v>
      </c>
      <c r="Y31" s="562">
        <f t="shared" si="14"/>
        <v>1859.1</v>
      </c>
      <c r="Z31" s="562"/>
      <c r="AA31" s="565">
        <f t="shared" si="15"/>
        <v>1859.1</v>
      </c>
      <c r="AB31" s="535">
        <f t="shared" si="16"/>
        <v>1.056306818181818</v>
      </c>
      <c r="AC31" s="499"/>
      <c r="AD31" s="499"/>
    </row>
    <row r="32" spans="1:30" s="498" customFormat="1" ht="15.75" x14ac:dyDescent="0.25">
      <c r="A32" s="502"/>
      <c r="B32" s="569" t="s">
        <v>58</v>
      </c>
      <c r="C32" s="568" t="s">
        <v>59</v>
      </c>
      <c r="D32" s="571">
        <v>329</v>
      </c>
      <c r="E32" s="566">
        <v>44122.3</v>
      </c>
      <c r="F32" s="566"/>
      <c r="G32" s="562">
        <f t="shared" si="8"/>
        <v>44451.3</v>
      </c>
      <c r="H32" s="562"/>
      <c r="I32" s="565">
        <f t="shared" si="9"/>
        <v>44451.3</v>
      </c>
      <c r="J32" s="570">
        <v>194.5</v>
      </c>
      <c r="K32" s="566">
        <v>48155.3</v>
      </c>
      <c r="L32" s="566"/>
      <c r="M32" s="562">
        <f t="shared" si="10"/>
        <v>48349.8</v>
      </c>
      <c r="N32" s="562"/>
      <c r="O32" s="565">
        <f t="shared" si="11"/>
        <v>48349.8</v>
      </c>
      <c r="P32" s="570"/>
      <c r="Q32" s="566">
        <v>22886.3</v>
      </c>
      <c r="R32" s="566"/>
      <c r="S32" s="562">
        <f t="shared" si="12"/>
        <v>22886.3</v>
      </c>
      <c r="T32" s="562"/>
      <c r="U32" s="565">
        <f t="shared" si="13"/>
        <v>22886.3</v>
      </c>
      <c r="V32" s="570">
        <v>243.5</v>
      </c>
      <c r="W32" s="566">
        <v>49000</v>
      </c>
      <c r="X32" s="566"/>
      <c r="Y32" s="562">
        <f t="shared" si="14"/>
        <v>49243.5</v>
      </c>
      <c r="Z32" s="562"/>
      <c r="AA32" s="565">
        <f t="shared" si="15"/>
        <v>49243.5</v>
      </c>
      <c r="AB32" s="535">
        <f t="shared" si="16"/>
        <v>1.0184840475038159</v>
      </c>
      <c r="AC32" s="499"/>
      <c r="AD32" s="499"/>
    </row>
    <row r="33" spans="1:30" s="498" customFormat="1" ht="15.75" x14ac:dyDescent="0.25">
      <c r="A33" s="502"/>
      <c r="B33" s="569" t="s">
        <v>60</v>
      </c>
      <c r="C33" s="573" t="s">
        <v>61</v>
      </c>
      <c r="D33" s="571">
        <v>15</v>
      </c>
      <c r="E33" s="566"/>
      <c r="F33" s="566"/>
      <c r="G33" s="562">
        <f t="shared" si="8"/>
        <v>15</v>
      </c>
      <c r="H33" s="562"/>
      <c r="I33" s="565">
        <f t="shared" si="9"/>
        <v>15</v>
      </c>
      <c r="J33" s="570"/>
      <c r="K33" s="566">
        <v>35448.800000000003</v>
      </c>
      <c r="L33" s="566"/>
      <c r="M33" s="562">
        <f t="shared" si="10"/>
        <v>35448.800000000003</v>
      </c>
      <c r="N33" s="562"/>
      <c r="O33" s="565">
        <f t="shared" si="11"/>
        <v>35448.800000000003</v>
      </c>
      <c r="P33" s="570"/>
      <c r="Q33" s="566">
        <v>16823.099999999999</v>
      </c>
      <c r="R33" s="566"/>
      <c r="S33" s="562">
        <f t="shared" si="12"/>
        <v>16823.099999999999</v>
      </c>
      <c r="T33" s="562"/>
      <c r="U33" s="565">
        <f t="shared" si="13"/>
        <v>16823.099999999999</v>
      </c>
      <c r="V33" s="570">
        <v>180.3</v>
      </c>
      <c r="W33" s="566"/>
      <c r="X33" s="566"/>
      <c r="Y33" s="562">
        <f t="shared" si="14"/>
        <v>180.3</v>
      </c>
      <c r="Z33" s="562"/>
      <c r="AA33" s="565">
        <f t="shared" si="15"/>
        <v>180.3</v>
      </c>
      <c r="AB33" s="535">
        <f t="shared" si="16"/>
        <v>5.0862088420482498E-3</v>
      </c>
      <c r="AC33" s="499"/>
      <c r="AD33" s="499"/>
    </row>
    <row r="34" spans="1:30" s="498" customFormat="1" ht="15.75" x14ac:dyDescent="0.25">
      <c r="A34" s="502"/>
      <c r="B34" s="569" t="s">
        <v>62</v>
      </c>
      <c r="C34" s="572" t="s">
        <v>63</v>
      </c>
      <c r="D34" s="571" t="s">
        <v>132</v>
      </c>
      <c r="E34" s="566"/>
      <c r="F34" s="566"/>
      <c r="G34" s="562">
        <f t="shared" si="8"/>
        <v>0</v>
      </c>
      <c r="H34" s="562"/>
      <c r="I34" s="565">
        <f t="shared" si="9"/>
        <v>0</v>
      </c>
      <c r="J34" s="570"/>
      <c r="K34" s="566"/>
      <c r="L34" s="566"/>
      <c r="M34" s="562">
        <f t="shared" si="10"/>
        <v>0</v>
      </c>
      <c r="N34" s="562"/>
      <c r="O34" s="565">
        <f t="shared" si="11"/>
        <v>0</v>
      </c>
      <c r="P34" s="570" t="s">
        <v>132</v>
      </c>
      <c r="Q34" s="566"/>
      <c r="R34" s="566"/>
      <c r="S34" s="562">
        <f t="shared" si="12"/>
        <v>0</v>
      </c>
      <c r="T34" s="562"/>
      <c r="U34" s="565">
        <f t="shared" si="13"/>
        <v>0</v>
      </c>
      <c r="V34" s="570">
        <v>63.2</v>
      </c>
      <c r="W34" s="566"/>
      <c r="X34" s="566"/>
      <c r="Y34" s="562">
        <f t="shared" si="14"/>
        <v>63.2</v>
      </c>
      <c r="Z34" s="562"/>
      <c r="AA34" s="565">
        <f t="shared" si="15"/>
        <v>63.2</v>
      </c>
      <c r="AB34" s="535" t="e">
        <f t="shared" si="16"/>
        <v>#DIV/0!</v>
      </c>
      <c r="AC34" s="499"/>
      <c r="AD34" s="499"/>
    </row>
    <row r="35" spans="1:30" s="498" customFormat="1" ht="15.75" x14ac:dyDescent="0.25">
      <c r="A35" s="502"/>
      <c r="B35" s="569" t="s">
        <v>64</v>
      </c>
      <c r="C35" s="568" t="s">
        <v>65</v>
      </c>
      <c r="D35" s="571" t="s">
        <v>132</v>
      </c>
      <c r="E35" s="566"/>
      <c r="F35" s="566"/>
      <c r="G35" s="562">
        <f t="shared" si="8"/>
        <v>0</v>
      </c>
      <c r="H35" s="562"/>
      <c r="I35" s="565">
        <f t="shared" si="9"/>
        <v>0</v>
      </c>
      <c r="J35" s="570">
        <v>60.8</v>
      </c>
      <c r="K35" s="566"/>
      <c r="L35" s="566"/>
      <c r="M35" s="562">
        <f t="shared" si="10"/>
        <v>60.8</v>
      </c>
      <c r="N35" s="562"/>
      <c r="O35" s="565">
        <f t="shared" si="11"/>
        <v>60.8</v>
      </c>
      <c r="P35" s="570"/>
      <c r="Q35" s="566"/>
      <c r="R35" s="566">
        <v>34.799999999999997</v>
      </c>
      <c r="S35" s="562">
        <f t="shared" si="12"/>
        <v>34.799999999999997</v>
      </c>
      <c r="T35" s="562"/>
      <c r="U35" s="565">
        <f t="shared" si="13"/>
        <v>34.799999999999997</v>
      </c>
      <c r="V35" s="570">
        <v>60</v>
      </c>
      <c r="W35" s="566"/>
      <c r="X35" s="566"/>
      <c r="Y35" s="562">
        <f t="shared" si="14"/>
        <v>60</v>
      </c>
      <c r="Z35" s="562"/>
      <c r="AA35" s="565">
        <f t="shared" si="15"/>
        <v>60</v>
      </c>
      <c r="AB35" s="535">
        <f t="shared" si="16"/>
        <v>0.98684210526315796</v>
      </c>
      <c r="AC35" s="499"/>
      <c r="AD35" s="499"/>
    </row>
    <row r="36" spans="1:30" s="498" customFormat="1" ht="15.75" x14ac:dyDescent="0.25">
      <c r="A36" s="502"/>
      <c r="B36" s="569" t="s">
        <v>66</v>
      </c>
      <c r="C36" s="568" t="s">
        <v>67</v>
      </c>
      <c r="D36" s="566" t="s">
        <v>132</v>
      </c>
      <c r="E36" s="566"/>
      <c r="F36" s="566"/>
      <c r="G36" s="562">
        <f t="shared" si="8"/>
        <v>0</v>
      </c>
      <c r="H36" s="562"/>
      <c r="I36" s="565">
        <f t="shared" si="9"/>
        <v>0</v>
      </c>
      <c r="J36" s="567"/>
      <c r="K36" s="566"/>
      <c r="L36" s="566"/>
      <c r="M36" s="562">
        <f t="shared" si="10"/>
        <v>0</v>
      </c>
      <c r="N36" s="562"/>
      <c r="O36" s="565">
        <f t="shared" si="11"/>
        <v>0</v>
      </c>
      <c r="P36" s="567"/>
      <c r="Q36" s="566"/>
      <c r="R36" s="566"/>
      <c r="S36" s="562">
        <f t="shared" si="12"/>
        <v>0</v>
      </c>
      <c r="T36" s="562"/>
      <c r="U36" s="565">
        <f t="shared" si="13"/>
        <v>0</v>
      </c>
      <c r="V36" s="567"/>
      <c r="W36" s="566"/>
      <c r="X36" s="566"/>
      <c r="Y36" s="562">
        <f t="shared" si="14"/>
        <v>0</v>
      </c>
      <c r="Z36" s="562"/>
      <c r="AA36" s="565">
        <f t="shared" si="15"/>
        <v>0</v>
      </c>
      <c r="AB36" s="535" t="e">
        <f t="shared" si="16"/>
        <v>#DIV/0!</v>
      </c>
      <c r="AC36" s="499"/>
      <c r="AD36" s="499"/>
    </row>
    <row r="37" spans="1:30" s="498" customFormat="1" ht="15.75" x14ac:dyDescent="0.25">
      <c r="A37" s="502"/>
      <c r="B37" s="569" t="s">
        <v>68</v>
      </c>
      <c r="C37" s="568" t="s">
        <v>69</v>
      </c>
      <c r="D37" s="566">
        <v>671</v>
      </c>
      <c r="E37" s="566"/>
      <c r="F37" s="566">
        <v>957</v>
      </c>
      <c r="G37" s="562">
        <f t="shared" si="8"/>
        <v>1628</v>
      </c>
      <c r="H37" s="562"/>
      <c r="I37" s="565">
        <f t="shared" si="9"/>
        <v>1628</v>
      </c>
      <c r="J37" s="567">
        <v>671.1</v>
      </c>
      <c r="K37" s="566"/>
      <c r="L37" s="566">
        <v>957</v>
      </c>
      <c r="M37" s="562">
        <f t="shared" si="10"/>
        <v>1628.1</v>
      </c>
      <c r="N37" s="562"/>
      <c r="O37" s="565">
        <f t="shared" si="11"/>
        <v>1628.1</v>
      </c>
      <c r="P37" s="567">
        <v>833.4</v>
      </c>
      <c r="Q37" s="566"/>
      <c r="R37" s="566"/>
      <c r="S37" s="562">
        <f t="shared" si="12"/>
        <v>833.4</v>
      </c>
      <c r="T37" s="562"/>
      <c r="U37" s="565">
        <f t="shared" si="13"/>
        <v>833.4</v>
      </c>
      <c r="V37" s="567">
        <v>671</v>
      </c>
      <c r="W37" s="566"/>
      <c r="X37" s="566">
        <v>957</v>
      </c>
      <c r="Y37" s="562">
        <f t="shared" si="14"/>
        <v>1628</v>
      </c>
      <c r="Z37" s="562"/>
      <c r="AA37" s="565">
        <f t="shared" si="15"/>
        <v>1628</v>
      </c>
      <c r="AB37" s="535">
        <f t="shared" si="16"/>
        <v>0.99993857871138148</v>
      </c>
      <c r="AC37" s="499"/>
      <c r="AD37" s="499"/>
    </row>
    <row r="38" spans="1:30" s="498" customFormat="1" ht="16.5" thickBot="1" x14ac:dyDescent="0.3">
      <c r="A38" s="502"/>
      <c r="B38" s="564" t="s">
        <v>70</v>
      </c>
      <c r="C38" s="563" t="s">
        <v>71</v>
      </c>
      <c r="D38" s="560">
        <v>651.9</v>
      </c>
      <c r="E38" s="560">
        <v>1379.7</v>
      </c>
      <c r="F38" s="560">
        <v>400</v>
      </c>
      <c r="G38" s="562">
        <f t="shared" si="8"/>
        <v>2431.6</v>
      </c>
      <c r="H38" s="559"/>
      <c r="I38" s="558">
        <f t="shared" si="9"/>
        <v>2431.6</v>
      </c>
      <c r="J38" s="561">
        <v>433.9</v>
      </c>
      <c r="K38" s="560">
        <v>999.5</v>
      </c>
      <c r="L38" s="560">
        <v>140</v>
      </c>
      <c r="M38" s="559">
        <f t="shared" si="10"/>
        <v>1573.4</v>
      </c>
      <c r="N38" s="559"/>
      <c r="O38" s="558">
        <f t="shared" si="11"/>
        <v>1573.4</v>
      </c>
      <c r="P38" s="561">
        <v>30</v>
      </c>
      <c r="Q38" s="560">
        <v>120</v>
      </c>
      <c r="R38" s="560"/>
      <c r="S38" s="559">
        <f t="shared" si="12"/>
        <v>150</v>
      </c>
      <c r="T38" s="559"/>
      <c r="U38" s="558">
        <f t="shared" si="13"/>
        <v>150</v>
      </c>
      <c r="V38" s="561">
        <v>430</v>
      </c>
      <c r="W38" s="560">
        <v>1000</v>
      </c>
      <c r="X38" s="560">
        <v>150</v>
      </c>
      <c r="Y38" s="559">
        <f t="shared" si="14"/>
        <v>1580</v>
      </c>
      <c r="Z38" s="559"/>
      <c r="AA38" s="558">
        <f t="shared" si="15"/>
        <v>1580</v>
      </c>
      <c r="AB38" s="557">
        <f t="shared" si="16"/>
        <v>1.0041947375111224</v>
      </c>
      <c r="AC38" s="499"/>
      <c r="AD38" s="499"/>
    </row>
    <row r="39" spans="1:30" s="498" customFormat="1" ht="16.5" thickBot="1" x14ac:dyDescent="0.3">
      <c r="A39" s="502"/>
      <c r="B39" s="556" t="s">
        <v>72</v>
      </c>
      <c r="C39" s="555" t="s">
        <v>73</v>
      </c>
      <c r="D39" s="554">
        <f>SUM(D35:D38)+SUM(D28:D32)</f>
        <v>5123.8999999999996</v>
      </c>
      <c r="E39" s="554">
        <f>SUM(E35:E38)+SUM(E28:E32)</f>
        <v>45502</v>
      </c>
      <c r="F39" s="554">
        <f>SUM(F35:F38)+SUM(F28:F32)</f>
        <v>4957</v>
      </c>
      <c r="G39" s="553">
        <f t="shared" si="8"/>
        <v>55582.9</v>
      </c>
      <c r="H39" s="552">
        <f>SUM(H28:H32)+SUM(H35:H38)</f>
        <v>0</v>
      </c>
      <c r="I39" s="551">
        <f>SUM(I35:I38)+SUM(I28:I32)</f>
        <v>55582.9</v>
      </c>
      <c r="J39" s="554">
        <f>SUM(J35:J38)+SUM(J28:J32)</f>
        <v>7119.8</v>
      </c>
      <c r="K39" s="554">
        <f>SUM(K35:K38)+SUM(K28:K32)</f>
        <v>49154.8</v>
      </c>
      <c r="L39" s="554">
        <f>SUM(L35:L38)+SUM(L28:L32)</f>
        <v>4457</v>
      </c>
      <c r="M39" s="553">
        <f t="shared" si="10"/>
        <v>60731.600000000006</v>
      </c>
      <c r="N39" s="552">
        <f>SUM(N28:N32)+SUM(N35:N38)</f>
        <v>0</v>
      </c>
      <c r="O39" s="551">
        <f>SUM(O35:O38)+SUM(O28:O32)</f>
        <v>60731.600000000006</v>
      </c>
      <c r="P39" s="554">
        <f>SUM(P35:P38)+SUM(P28:P32)</f>
        <v>2880.7</v>
      </c>
      <c r="Q39" s="554">
        <f>SUM(Q35:Q38)+SUM(Q28:Q32)</f>
        <v>23350.7</v>
      </c>
      <c r="R39" s="554">
        <f>SUM(R35:R38)+SUM(R28:R32)</f>
        <v>1516</v>
      </c>
      <c r="S39" s="553">
        <f t="shared" si="12"/>
        <v>27747.4</v>
      </c>
      <c r="T39" s="552">
        <f>SUM(T28:T32)+SUM(T35:T38)</f>
        <v>0</v>
      </c>
      <c r="U39" s="551">
        <f>SUM(U35:U38)+SUM(U28:U32)</f>
        <v>27747.4</v>
      </c>
      <c r="V39" s="554">
        <f>SUM(V35:V38)+SUM(V28:V32)</f>
        <v>6437.7000000000007</v>
      </c>
      <c r="W39" s="554">
        <f>SUM(W35:W38)+SUM(W28:W32)</f>
        <v>50000</v>
      </c>
      <c r="X39" s="554">
        <f>SUM(X35:X38)+SUM(X28:X32)</f>
        <v>4557</v>
      </c>
      <c r="Y39" s="553">
        <f t="shared" si="14"/>
        <v>60994.7</v>
      </c>
      <c r="Z39" s="552">
        <f>SUM(Z28:Z32)+SUM(Z35:Z38)</f>
        <v>0</v>
      </c>
      <c r="AA39" s="551">
        <f>SUM(AA35:AA38)+SUM(AA28:AA32)</f>
        <v>60994.7</v>
      </c>
      <c r="AB39" s="550">
        <f t="shared" si="16"/>
        <v>1.00433217632995</v>
      </c>
      <c r="AC39" s="499"/>
      <c r="AD39" s="499"/>
    </row>
    <row r="40" spans="1:30" s="498" customFormat="1" ht="16.5" thickBot="1" x14ac:dyDescent="0.3">
      <c r="A40" s="502"/>
      <c r="B40" s="549" t="s">
        <v>74</v>
      </c>
      <c r="C40" s="548" t="s">
        <v>75</v>
      </c>
      <c r="D40" s="547">
        <f t="shared" ref="D40:AA40" si="17">D24-D39</f>
        <v>0</v>
      </c>
      <c r="E40" s="547">
        <f t="shared" si="17"/>
        <v>0</v>
      </c>
      <c r="F40" s="547">
        <f t="shared" si="17"/>
        <v>0</v>
      </c>
      <c r="G40" s="546">
        <f t="shared" si="17"/>
        <v>0</v>
      </c>
      <c r="H40" s="546">
        <f t="shared" si="17"/>
        <v>0</v>
      </c>
      <c r="I40" s="545">
        <f t="shared" si="17"/>
        <v>0</v>
      </c>
      <c r="J40" s="547">
        <f t="shared" si="17"/>
        <v>0</v>
      </c>
      <c r="K40" s="547">
        <f t="shared" si="17"/>
        <v>0</v>
      </c>
      <c r="L40" s="547">
        <f t="shared" si="17"/>
        <v>0</v>
      </c>
      <c r="M40" s="546">
        <f t="shared" si="17"/>
        <v>0</v>
      </c>
      <c r="N40" s="546">
        <f t="shared" si="17"/>
        <v>0</v>
      </c>
      <c r="O40" s="545">
        <f t="shared" si="17"/>
        <v>0</v>
      </c>
      <c r="P40" s="547">
        <f t="shared" si="17"/>
        <v>102.5</v>
      </c>
      <c r="Q40" s="547">
        <f t="shared" si="17"/>
        <v>3130.7000000000007</v>
      </c>
      <c r="R40" s="547">
        <f t="shared" si="17"/>
        <v>843.59999999999991</v>
      </c>
      <c r="S40" s="546">
        <f t="shared" si="17"/>
        <v>4076.7999999999993</v>
      </c>
      <c r="T40" s="546">
        <f t="shared" si="17"/>
        <v>0</v>
      </c>
      <c r="U40" s="545">
        <f t="shared" si="17"/>
        <v>4076.7999999999956</v>
      </c>
      <c r="V40" s="547">
        <f t="shared" si="17"/>
        <v>0</v>
      </c>
      <c r="W40" s="547">
        <f t="shared" si="17"/>
        <v>0</v>
      </c>
      <c r="X40" s="547">
        <f t="shared" si="17"/>
        <v>0</v>
      </c>
      <c r="Y40" s="546">
        <f t="shared" si="17"/>
        <v>0</v>
      </c>
      <c r="Z40" s="546">
        <f t="shared" si="17"/>
        <v>0</v>
      </c>
      <c r="AA40" s="545">
        <f t="shared" si="17"/>
        <v>0</v>
      </c>
      <c r="AB40" s="544" t="e">
        <f t="shared" si="16"/>
        <v>#DIV/0!</v>
      </c>
      <c r="AC40" s="499"/>
      <c r="AD40" s="499"/>
    </row>
    <row r="41" spans="1:30" s="498" customFormat="1" ht="16.5" thickBot="1" x14ac:dyDescent="0.3">
      <c r="A41" s="502"/>
      <c r="B41" s="543" t="s">
        <v>76</v>
      </c>
      <c r="C41" s="542" t="s">
        <v>77</v>
      </c>
      <c r="D41" s="540"/>
      <c r="E41" s="539"/>
      <c r="F41" s="539"/>
      <c r="G41" s="538"/>
      <c r="H41" s="541"/>
      <c r="I41" s="536">
        <f>I40-D16</f>
        <v>-4697.8</v>
      </c>
      <c r="J41" s="540"/>
      <c r="K41" s="539"/>
      <c r="L41" s="539"/>
      <c r="M41" s="538"/>
      <c r="N41" s="537"/>
      <c r="O41" s="536">
        <f>O40-J16</f>
        <v>-5294.5</v>
      </c>
      <c r="P41" s="540"/>
      <c r="Q41" s="539"/>
      <c r="R41" s="539"/>
      <c r="S41" s="538"/>
      <c r="T41" s="537"/>
      <c r="U41" s="536">
        <f>U40-P16</f>
        <v>1422.2999999999956</v>
      </c>
      <c r="V41" s="540"/>
      <c r="W41" s="539"/>
      <c r="X41" s="539"/>
      <c r="Y41" s="538"/>
      <c r="Z41" s="537"/>
      <c r="AA41" s="536">
        <f>AA40-V16</f>
        <v>-6105.1</v>
      </c>
      <c r="AB41" s="535">
        <f t="shared" si="16"/>
        <v>1.1531022759467373</v>
      </c>
      <c r="AC41" s="499"/>
      <c r="AD41" s="499"/>
    </row>
    <row r="42" spans="1:30" s="501" customFormat="1" ht="8.25" customHeight="1" thickBot="1" x14ac:dyDescent="0.3">
      <c r="A42" s="527"/>
      <c r="B42" s="526"/>
      <c r="C42" s="510"/>
      <c r="D42" s="534"/>
      <c r="E42" s="509"/>
      <c r="F42" s="509"/>
      <c r="G42" s="527"/>
      <c r="H42" s="509"/>
      <c r="I42" s="509"/>
      <c r="J42" s="534"/>
      <c r="K42" s="509"/>
      <c r="L42" s="509"/>
      <c r="M42" s="527"/>
      <c r="N42" s="509"/>
      <c r="O42" s="509"/>
      <c r="P42" s="509"/>
      <c r="Q42" s="509"/>
      <c r="R42" s="509"/>
      <c r="S42" s="509"/>
      <c r="T42" s="509"/>
      <c r="U42" s="509"/>
      <c r="V42" s="522"/>
      <c r="W42" s="522"/>
      <c r="X42" s="522"/>
      <c r="Y42" s="522"/>
      <c r="Z42" s="522"/>
      <c r="AA42" s="522"/>
      <c r="AB42" s="522"/>
      <c r="AC42" s="522"/>
      <c r="AD42" s="522"/>
    </row>
    <row r="43" spans="1:30" s="501" customFormat="1" ht="15.75" customHeight="1" thickBot="1" x14ac:dyDescent="0.3">
      <c r="A43" s="527"/>
      <c r="B43" s="526"/>
      <c r="C43" s="955" t="s">
        <v>78</v>
      </c>
      <c r="D43" s="533" t="s">
        <v>79</v>
      </c>
      <c r="E43" s="532" t="s">
        <v>80</v>
      </c>
      <c r="F43" s="531" t="s">
        <v>81</v>
      </c>
      <c r="G43" s="509"/>
      <c r="H43" s="509"/>
      <c r="I43" s="508"/>
      <c r="J43" s="533" t="s">
        <v>79</v>
      </c>
      <c r="K43" s="532" t="s">
        <v>80</v>
      </c>
      <c r="L43" s="531" t="s">
        <v>81</v>
      </c>
      <c r="M43" s="509"/>
      <c r="N43" s="509"/>
      <c r="O43" s="509"/>
      <c r="P43" s="533" t="s">
        <v>79</v>
      </c>
      <c r="Q43" s="532" t="s">
        <v>80</v>
      </c>
      <c r="R43" s="531" t="s">
        <v>81</v>
      </c>
      <c r="S43" s="522"/>
      <c r="T43" s="522"/>
      <c r="U43" s="522"/>
      <c r="V43" s="533" t="s">
        <v>79</v>
      </c>
      <c r="W43" s="532" t="s">
        <v>80</v>
      </c>
      <c r="X43" s="531" t="s">
        <v>81</v>
      </c>
      <c r="Y43" s="522"/>
      <c r="Z43" s="522"/>
      <c r="AA43" s="522"/>
      <c r="AB43" s="522"/>
      <c r="AC43" s="522"/>
      <c r="AD43" s="522"/>
    </row>
    <row r="44" spans="1:30" s="498" customFormat="1" ht="16.5" thickBot="1" x14ac:dyDescent="0.3">
      <c r="A44" s="502"/>
      <c r="B44" s="526"/>
      <c r="C44" s="956"/>
      <c r="D44" s="520">
        <v>277</v>
      </c>
      <c r="E44" s="530">
        <v>277</v>
      </c>
      <c r="F44" s="529">
        <v>0</v>
      </c>
      <c r="G44" s="509"/>
      <c r="H44" s="509"/>
      <c r="I44" s="508"/>
      <c r="J44" s="520">
        <v>277</v>
      </c>
      <c r="K44" s="530">
        <v>277</v>
      </c>
      <c r="L44" s="529">
        <v>0</v>
      </c>
      <c r="M44" s="528"/>
      <c r="N44" s="528"/>
      <c r="O44" s="528"/>
      <c r="P44" s="520">
        <v>289</v>
      </c>
      <c r="Q44" s="530">
        <v>289</v>
      </c>
      <c r="R44" s="529">
        <v>0</v>
      </c>
      <c r="S44" s="499"/>
      <c r="T44" s="499"/>
      <c r="U44" s="499"/>
      <c r="V44" s="520">
        <v>289</v>
      </c>
      <c r="W44" s="530">
        <v>289</v>
      </c>
      <c r="X44" s="529">
        <v>0</v>
      </c>
      <c r="Y44" s="499"/>
      <c r="Z44" s="499"/>
      <c r="AA44" s="499"/>
      <c r="AB44" s="499"/>
      <c r="AC44" s="499"/>
      <c r="AD44" s="499"/>
    </row>
    <row r="45" spans="1:30" s="501" customFormat="1" ht="8.25" customHeight="1" thickBot="1" x14ac:dyDescent="0.3">
      <c r="A45" s="527"/>
      <c r="B45" s="526"/>
      <c r="C45" s="510"/>
      <c r="D45" s="528"/>
      <c r="E45" s="509"/>
      <c r="F45" s="509"/>
      <c r="G45" s="509"/>
      <c r="H45" s="509"/>
      <c r="I45" s="508"/>
      <c r="J45" s="509"/>
      <c r="K45" s="509"/>
      <c r="L45" s="509"/>
      <c r="M45" s="509"/>
      <c r="N45" s="509"/>
      <c r="O45" s="508"/>
      <c r="P45" s="508"/>
      <c r="Q45" s="508"/>
      <c r="R45" s="508"/>
      <c r="S45" s="508"/>
      <c r="T45" s="508"/>
      <c r="U45" s="508"/>
      <c r="V45" s="522"/>
      <c r="W45" s="522"/>
      <c r="X45" s="522"/>
      <c r="Y45" s="522"/>
      <c r="Z45" s="522"/>
      <c r="AA45" s="522"/>
      <c r="AB45" s="522"/>
      <c r="AC45" s="522"/>
      <c r="AD45" s="522"/>
    </row>
    <row r="46" spans="1:30" s="501" customFormat="1" ht="37.5" customHeight="1" thickBot="1" x14ac:dyDescent="0.3">
      <c r="A46" s="527"/>
      <c r="B46" s="526"/>
      <c r="C46" s="955" t="s">
        <v>82</v>
      </c>
      <c r="D46" s="524" t="s">
        <v>83</v>
      </c>
      <c r="E46" s="523" t="s">
        <v>84</v>
      </c>
      <c r="F46" s="509"/>
      <c r="G46" s="509"/>
      <c r="H46" s="509"/>
      <c r="I46" s="508"/>
      <c r="J46" s="524" t="s">
        <v>83</v>
      </c>
      <c r="K46" s="523" t="s">
        <v>84</v>
      </c>
      <c r="L46" s="525"/>
      <c r="M46" s="525"/>
      <c r="N46" s="522"/>
      <c r="O46" s="522"/>
      <c r="P46" s="524" t="s">
        <v>83</v>
      </c>
      <c r="Q46" s="523" t="s">
        <v>84</v>
      </c>
      <c r="R46" s="522"/>
      <c r="S46" s="522"/>
      <c r="T46" s="522"/>
      <c r="U46" s="522"/>
      <c r="V46" s="524" t="s">
        <v>83</v>
      </c>
      <c r="W46" s="523" t="s">
        <v>84</v>
      </c>
      <c r="X46" s="522"/>
      <c r="Y46" s="522"/>
      <c r="Z46" s="522"/>
      <c r="AA46" s="522"/>
      <c r="AB46" s="522"/>
      <c r="AC46" s="522"/>
      <c r="AD46" s="522"/>
    </row>
    <row r="47" spans="1:30" s="498" customFormat="1" ht="16.5" thickBot="1" x14ac:dyDescent="0.3">
      <c r="A47" s="502"/>
      <c r="B47" s="511"/>
      <c r="C47" s="957"/>
      <c r="D47" s="520">
        <v>0</v>
      </c>
      <c r="E47" s="519">
        <v>0</v>
      </c>
      <c r="F47" s="509"/>
      <c r="G47" s="509"/>
      <c r="H47" s="509"/>
      <c r="I47" s="508"/>
      <c r="J47" s="520">
        <v>0</v>
      </c>
      <c r="K47" s="519">
        <v>0</v>
      </c>
      <c r="L47" s="521"/>
      <c r="M47" s="521"/>
      <c r="N47" s="499"/>
      <c r="O47" s="499"/>
      <c r="P47" s="520">
        <v>0</v>
      </c>
      <c r="Q47" s="519">
        <v>0</v>
      </c>
      <c r="R47" s="499"/>
      <c r="S47" s="499"/>
      <c r="T47" s="499"/>
      <c r="U47" s="499"/>
      <c r="V47" s="520">
        <v>0</v>
      </c>
      <c r="W47" s="519">
        <v>0</v>
      </c>
      <c r="X47" s="499"/>
      <c r="Y47" s="499"/>
      <c r="Z47" s="499"/>
      <c r="AA47" s="499"/>
      <c r="AB47" s="499"/>
      <c r="AC47" s="499"/>
      <c r="AD47" s="499"/>
    </row>
    <row r="48" spans="1:30" s="498" customFormat="1" ht="15.75" x14ac:dyDescent="0.25">
      <c r="A48" s="502"/>
      <c r="B48" s="511"/>
      <c r="C48" s="510"/>
      <c r="D48" s="509"/>
      <c r="E48" s="509"/>
      <c r="F48" s="509"/>
      <c r="G48" s="509"/>
      <c r="H48" s="509"/>
      <c r="I48" s="508"/>
      <c r="J48" s="509"/>
      <c r="K48" s="509"/>
      <c r="L48" s="509"/>
      <c r="M48" s="509"/>
      <c r="N48" s="509"/>
      <c r="O48" s="508"/>
      <c r="P48" s="508"/>
      <c r="Q48" s="508"/>
      <c r="R48" s="508"/>
      <c r="S48" s="508"/>
      <c r="T48" s="508"/>
      <c r="U48" s="508"/>
      <c r="V48" s="499"/>
      <c r="W48" s="499"/>
      <c r="X48" s="499"/>
      <c r="Y48" s="499"/>
      <c r="Z48" s="499"/>
      <c r="AA48" s="499"/>
      <c r="AB48" s="499"/>
      <c r="AC48" s="499"/>
      <c r="AD48" s="499"/>
    </row>
    <row r="49" spans="1:30" s="498" customFormat="1" ht="15.75" x14ac:dyDescent="0.25">
      <c r="A49" s="502"/>
      <c r="B49" s="511"/>
      <c r="C49" s="515" t="s">
        <v>85</v>
      </c>
      <c r="D49" s="514" t="s">
        <v>193</v>
      </c>
      <c r="E49" s="514" t="s">
        <v>87</v>
      </c>
      <c r="F49" s="514" t="s">
        <v>88</v>
      </c>
      <c r="G49" s="514" t="s">
        <v>89</v>
      </c>
      <c r="H49" s="509"/>
      <c r="I49" s="499"/>
      <c r="J49" s="514" t="s">
        <v>192</v>
      </c>
      <c r="K49" s="514" t="s">
        <v>87</v>
      </c>
      <c r="L49" s="514" t="s">
        <v>88</v>
      </c>
      <c r="M49" s="514" t="s">
        <v>90</v>
      </c>
      <c r="N49" s="499"/>
      <c r="O49" s="499"/>
      <c r="P49" s="514" t="s">
        <v>86</v>
      </c>
      <c r="Q49" s="514" t="s">
        <v>87</v>
      </c>
      <c r="R49" s="514" t="s">
        <v>88</v>
      </c>
      <c r="S49" s="514" t="s">
        <v>90</v>
      </c>
      <c r="T49" s="499"/>
      <c r="U49" s="499"/>
      <c r="V49" s="514" t="s">
        <v>191</v>
      </c>
      <c r="W49" s="514" t="s">
        <v>87</v>
      </c>
      <c r="X49" s="514" t="s">
        <v>88</v>
      </c>
      <c r="Y49" s="514" t="s">
        <v>90</v>
      </c>
      <c r="Z49" s="499"/>
      <c r="AA49" s="499"/>
      <c r="AB49" s="499"/>
      <c r="AC49" s="499"/>
      <c r="AD49" s="499"/>
    </row>
    <row r="50" spans="1:30" s="498" customFormat="1" ht="15.75" x14ac:dyDescent="0.25">
      <c r="A50" s="502"/>
      <c r="B50" s="511"/>
      <c r="C50" s="513" t="s">
        <v>190</v>
      </c>
      <c r="D50" s="517">
        <v>1648.2</v>
      </c>
      <c r="E50" s="517">
        <v>941.6</v>
      </c>
      <c r="F50" s="517">
        <v>1706.3</v>
      </c>
      <c r="G50" s="516">
        <f>D50+E50-F50</f>
        <v>883.50000000000023</v>
      </c>
      <c r="H50" s="509"/>
      <c r="I50" s="499"/>
      <c r="J50" s="517">
        <v>883.5</v>
      </c>
      <c r="K50" s="517">
        <v>0</v>
      </c>
      <c r="L50" s="517">
        <v>787.4</v>
      </c>
      <c r="M50" s="516">
        <f>J50+K50-L50</f>
        <v>96.100000000000023</v>
      </c>
      <c r="N50" s="499"/>
      <c r="O50" s="499"/>
      <c r="P50" s="517">
        <v>883.5</v>
      </c>
      <c r="Q50" s="517">
        <v>0</v>
      </c>
      <c r="R50" s="517">
        <v>787.4</v>
      </c>
      <c r="S50" s="516">
        <f>P50+Q50-R50</f>
        <v>96.100000000000023</v>
      </c>
      <c r="T50" s="499"/>
      <c r="U50" s="499"/>
      <c r="V50" s="517">
        <v>96.1</v>
      </c>
      <c r="W50" s="517"/>
      <c r="X50" s="517">
        <v>96.1</v>
      </c>
      <c r="Y50" s="516">
        <f>V50+W50-X50</f>
        <v>0</v>
      </c>
      <c r="Z50" s="499"/>
      <c r="AA50" s="499"/>
      <c r="AB50" s="499"/>
      <c r="AC50" s="499"/>
      <c r="AD50" s="499"/>
    </row>
    <row r="51" spans="1:30" s="498" customFormat="1" ht="15.75" x14ac:dyDescent="0.25">
      <c r="A51" s="502"/>
      <c r="B51" s="511"/>
      <c r="C51" s="513" t="s">
        <v>189</v>
      </c>
      <c r="D51" s="517">
        <v>438.2</v>
      </c>
      <c r="E51" s="517">
        <v>26.1</v>
      </c>
      <c r="F51" s="517">
        <v>94.4</v>
      </c>
      <c r="G51" s="516">
        <f>D51+E51-F51</f>
        <v>369.9</v>
      </c>
      <c r="H51" s="509"/>
      <c r="I51" s="499"/>
      <c r="J51" s="517">
        <v>369.9</v>
      </c>
      <c r="K51" s="517">
        <v>0</v>
      </c>
      <c r="L51" s="517">
        <v>0</v>
      </c>
      <c r="M51" s="516">
        <f>J51+K51-L51</f>
        <v>369.9</v>
      </c>
      <c r="N51" s="499"/>
      <c r="O51" s="499"/>
      <c r="P51" s="517">
        <v>369.9</v>
      </c>
      <c r="Q51" s="517">
        <v>0</v>
      </c>
      <c r="R51" s="517">
        <v>0</v>
      </c>
      <c r="S51" s="516">
        <f>P51+Q51-R51</f>
        <v>369.9</v>
      </c>
      <c r="T51" s="499"/>
      <c r="U51" s="499"/>
      <c r="V51" s="517">
        <v>369.9</v>
      </c>
      <c r="W51" s="517"/>
      <c r="X51" s="517"/>
      <c r="Y51" s="516">
        <f>V51+W51-X51</f>
        <v>369.9</v>
      </c>
      <c r="Z51" s="499"/>
      <c r="AA51" s="499"/>
      <c r="AB51" s="499"/>
      <c r="AC51" s="499"/>
      <c r="AD51" s="499"/>
    </row>
    <row r="52" spans="1:30" s="498" customFormat="1" ht="15.75" x14ac:dyDescent="0.25">
      <c r="A52" s="502"/>
      <c r="B52" s="511"/>
      <c r="C52" s="513" t="s">
        <v>95</v>
      </c>
      <c r="D52" s="517">
        <v>1588</v>
      </c>
      <c r="E52" s="517">
        <v>765.4</v>
      </c>
      <c r="F52" s="517">
        <v>333.9</v>
      </c>
      <c r="G52" s="516">
        <f>D52+E52-F52</f>
        <v>2019.5</v>
      </c>
      <c r="H52" s="509"/>
      <c r="I52" s="499"/>
      <c r="J52" s="517">
        <v>2019.5</v>
      </c>
      <c r="K52" s="517">
        <v>700</v>
      </c>
      <c r="L52" s="517">
        <v>590</v>
      </c>
      <c r="M52" s="516">
        <f>J52+K52-L52</f>
        <v>2129.5</v>
      </c>
      <c r="N52" s="499"/>
      <c r="O52" s="499"/>
      <c r="P52" s="517">
        <v>2019.5</v>
      </c>
      <c r="Q52" s="517">
        <v>700</v>
      </c>
      <c r="R52" s="517">
        <v>590</v>
      </c>
      <c r="S52" s="516">
        <f>P52+Q52-R52</f>
        <v>2129.5</v>
      </c>
      <c r="T52" s="499"/>
      <c r="U52" s="499"/>
      <c r="V52" s="517">
        <v>2129.5</v>
      </c>
      <c r="W52" s="517">
        <v>700</v>
      </c>
      <c r="X52" s="517">
        <v>600</v>
      </c>
      <c r="Y52" s="516">
        <f>V52+W52-X52</f>
        <v>2229.5</v>
      </c>
      <c r="Z52" s="499"/>
      <c r="AA52" s="499"/>
      <c r="AB52" s="499"/>
      <c r="AC52" s="499"/>
      <c r="AD52" s="499"/>
    </row>
    <row r="53" spans="1:30" s="498" customFormat="1" ht="15.75" x14ac:dyDescent="0.25">
      <c r="A53" s="502"/>
      <c r="B53" s="511"/>
      <c r="C53" s="513" t="s">
        <v>96</v>
      </c>
      <c r="D53" s="517">
        <v>62.5</v>
      </c>
      <c r="E53" s="517">
        <v>6.5</v>
      </c>
      <c r="F53" s="517">
        <v>6</v>
      </c>
      <c r="G53" s="516">
        <f>D53+E53-F53</f>
        <v>63</v>
      </c>
      <c r="H53" s="509"/>
      <c r="I53" s="499"/>
      <c r="J53" s="517">
        <v>63</v>
      </c>
      <c r="K53" s="517">
        <v>0</v>
      </c>
      <c r="L53" s="517">
        <v>0</v>
      </c>
      <c r="M53" s="516">
        <f>J53+K53-L53</f>
        <v>63</v>
      </c>
      <c r="N53" s="499"/>
      <c r="O53" s="499"/>
      <c r="P53" s="517">
        <v>63</v>
      </c>
      <c r="Q53" s="517">
        <v>0</v>
      </c>
      <c r="R53" s="517">
        <v>0</v>
      </c>
      <c r="S53" s="516">
        <f>P53+Q53-R53</f>
        <v>63</v>
      </c>
      <c r="T53" s="499"/>
      <c r="U53" s="499"/>
      <c r="V53" s="517">
        <v>63</v>
      </c>
      <c r="W53" s="517"/>
      <c r="X53" s="517"/>
      <c r="Y53" s="516">
        <f>V53+W53-X53</f>
        <v>63</v>
      </c>
      <c r="Z53" s="499"/>
      <c r="AA53" s="499"/>
      <c r="AB53" s="499"/>
      <c r="AC53" s="499"/>
      <c r="AD53" s="499"/>
    </row>
    <row r="54" spans="1:30" s="498" customFormat="1" ht="15.75" x14ac:dyDescent="0.25">
      <c r="A54" s="502"/>
      <c r="B54" s="511"/>
      <c r="C54" s="518" t="s">
        <v>97</v>
      </c>
      <c r="D54" s="517">
        <v>723.8</v>
      </c>
      <c r="E54" s="517">
        <v>669</v>
      </c>
      <c r="F54" s="517">
        <v>605.9</v>
      </c>
      <c r="G54" s="516">
        <f>D54+E54-F54</f>
        <v>786.9</v>
      </c>
      <c r="H54" s="509"/>
      <c r="I54" s="499"/>
      <c r="J54" s="517">
        <v>786.9</v>
      </c>
      <c r="K54" s="517">
        <v>650</v>
      </c>
      <c r="L54" s="517">
        <v>600</v>
      </c>
      <c r="M54" s="516">
        <f>J54+K54-L54</f>
        <v>836.90000000000009</v>
      </c>
      <c r="N54" s="499"/>
      <c r="O54" s="499"/>
      <c r="P54" s="517">
        <v>786.9</v>
      </c>
      <c r="Q54" s="517">
        <v>650</v>
      </c>
      <c r="R54" s="517">
        <v>600</v>
      </c>
      <c r="S54" s="516">
        <f>P54+Q54-R54</f>
        <v>836.90000000000009</v>
      </c>
      <c r="T54" s="499"/>
      <c r="U54" s="499"/>
      <c r="V54" s="517">
        <v>836.9</v>
      </c>
      <c r="W54" s="517">
        <v>700</v>
      </c>
      <c r="X54" s="517">
        <v>800</v>
      </c>
      <c r="Y54" s="516">
        <v>826.9</v>
      </c>
      <c r="Z54" s="499"/>
      <c r="AA54" s="499"/>
      <c r="AB54" s="499"/>
      <c r="AC54" s="499"/>
      <c r="AD54" s="499"/>
    </row>
    <row r="55" spans="1:30" s="498" customFormat="1" ht="10.5" customHeight="1" x14ac:dyDescent="0.25">
      <c r="A55" s="502"/>
      <c r="B55" s="511"/>
      <c r="C55" s="510"/>
      <c r="D55" s="509"/>
      <c r="E55" s="509"/>
      <c r="F55" s="509"/>
      <c r="G55" s="509"/>
      <c r="H55" s="509"/>
      <c r="I55" s="499"/>
      <c r="J55" s="499"/>
      <c r="K55" s="499"/>
      <c r="L55" s="499"/>
      <c r="M55" s="499"/>
      <c r="N55" s="499"/>
      <c r="O55" s="499"/>
      <c r="P55" s="499"/>
      <c r="Q55" s="499"/>
      <c r="R55" s="499"/>
      <c r="S55" s="499"/>
      <c r="T55" s="499"/>
      <c r="U55" s="499"/>
      <c r="V55" s="499"/>
      <c r="W55" s="499"/>
      <c r="X55" s="499"/>
      <c r="Y55" s="499"/>
      <c r="Z55" s="499"/>
      <c r="AA55" s="499"/>
      <c r="AB55" s="499"/>
      <c r="AC55" s="499"/>
      <c r="AD55" s="499"/>
    </row>
    <row r="56" spans="1:30" s="498" customFormat="1" ht="15.75" x14ac:dyDescent="0.25">
      <c r="A56" s="502"/>
      <c r="B56" s="511"/>
      <c r="C56" s="515" t="s">
        <v>98</v>
      </c>
      <c r="D56" s="514" t="s">
        <v>99</v>
      </c>
      <c r="E56" s="514" t="s">
        <v>100</v>
      </c>
      <c r="F56" s="509"/>
      <c r="G56" s="509"/>
      <c r="H56" s="509"/>
      <c r="I56" s="508"/>
      <c r="J56" s="514" t="s">
        <v>101</v>
      </c>
      <c r="K56" s="509"/>
      <c r="L56" s="509"/>
      <c r="M56" s="509"/>
      <c r="N56" s="509"/>
      <c r="O56" s="508"/>
      <c r="P56" s="514" t="s">
        <v>102</v>
      </c>
      <c r="Q56" s="508"/>
      <c r="R56" s="508"/>
      <c r="S56" s="508"/>
      <c r="T56" s="508"/>
      <c r="U56" s="508"/>
      <c r="V56" s="514" t="s">
        <v>101</v>
      </c>
      <c r="W56" s="499"/>
      <c r="X56" s="499"/>
      <c r="Y56" s="499"/>
      <c r="Z56" s="499"/>
      <c r="AA56" s="499"/>
      <c r="AB56" s="499"/>
      <c r="AC56" s="499"/>
      <c r="AD56" s="499"/>
    </row>
    <row r="57" spans="1:30" s="498" customFormat="1" ht="15.75" x14ac:dyDescent="0.25">
      <c r="A57" s="502"/>
      <c r="B57" s="511"/>
      <c r="C57" s="513"/>
      <c r="D57" s="512">
        <v>64.22</v>
      </c>
      <c r="E57" s="512">
        <v>66.88</v>
      </c>
      <c r="F57" s="509"/>
      <c r="G57" s="509"/>
      <c r="H57" s="509"/>
      <c r="I57" s="508"/>
      <c r="J57" s="512">
        <v>70.2</v>
      </c>
      <c r="K57" s="509"/>
      <c r="L57" s="509"/>
      <c r="M57" s="509"/>
      <c r="N57" s="509"/>
      <c r="O57" s="508"/>
      <c r="P57" s="512">
        <v>70.19</v>
      </c>
      <c r="Q57" s="508"/>
      <c r="R57" s="508"/>
      <c r="S57" s="508"/>
      <c r="T57" s="508"/>
      <c r="U57" s="508"/>
      <c r="V57" s="512">
        <v>72.2</v>
      </c>
      <c r="W57" s="499"/>
      <c r="X57" s="499"/>
      <c r="Y57" s="499"/>
      <c r="Z57" s="499"/>
      <c r="AA57" s="499"/>
      <c r="AB57" s="499"/>
      <c r="AC57" s="499"/>
      <c r="AD57" s="499"/>
    </row>
    <row r="58" spans="1:30" s="498" customFormat="1" ht="15.75" x14ac:dyDescent="0.25">
      <c r="A58" s="502"/>
      <c r="B58" s="511"/>
      <c r="C58" s="510"/>
      <c r="D58" s="509"/>
      <c r="E58" s="509"/>
      <c r="F58" s="509"/>
      <c r="G58" s="509"/>
      <c r="H58" s="509"/>
      <c r="I58" s="508"/>
      <c r="J58" s="509"/>
      <c r="K58" s="509"/>
      <c r="L58" s="509"/>
      <c r="M58" s="509"/>
      <c r="N58" s="509"/>
      <c r="O58" s="508"/>
      <c r="P58" s="508"/>
      <c r="Q58" s="508"/>
      <c r="R58" s="508"/>
      <c r="S58" s="508"/>
      <c r="T58" s="508"/>
      <c r="U58" s="508"/>
      <c r="V58" s="499"/>
      <c r="W58" s="499"/>
      <c r="X58" s="499"/>
      <c r="Y58" s="499"/>
      <c r="Z58" s="499"/>
      <c r="AA58" s="499"/>
      <c r="AB58" s="499"/>
      <c r="AC58" s="499"/>
      <c r="AD58" s="499"/>
    </row>
    <row r="59" spans="1:30" s="498" customFormat="1" ht="15.75" x14ac:dyDescent="0.25">
      <c r="A59" s="502"/>
      <c r="B59" s="507" t="s">
        <v>103</v>
      </c>
      <c r="C59" s="506"/>
      <c r="D59" s="960"/>
      <c r="E59" s="960"/>
      <c r="F59" s="960"/>
      <c r="G59" s="960"/>
      <c r="H59" s="960"/>
      <c r="I59" s="960"/>
      <c r="J59" s="960"/>
      <c r="K59" s="960"/>
      <c r="L59" s="960"/>
      <c r="M59" s="960"/>
      <c r="N59" s="960"/>
      <c r="O59" s="960"/>
      <c r="P59" s="960"/>
      <c r="Q59" s="960"/>
      <c r="R59" s="960"/>
      <c r="S59" s="960"/>
      <c r="T59" s="960"/>
      <c r="U59" s="960"/>
      <c r="V59" s="505"/>
      <c r="W59" s="505"/>
      <c r="X59" s="505"/>
      <c r="Y59" s="505"/>
      <c r="Z59" s="505"/>
      <c r="AA59" s="505"/>
      <c r="AB59" s="504"/>
      <c r="AC59" s="499"/>
      <c r="AD59" s="499"/>
    </row>
    <row r="60" spans="1:30" s="498" customFormat="1" ht="15.75" x14ac:dyDescent="0.25">
      <c r="A60" s="502"/>
      <c r="B60" s="503"/>
      <c r="C60" s="501"/>
      <c r="D60" s="501"/>
      <c r="E60" s="501"/>
      <c r="F60" s="501"/>
      <c r="G60" s="501"/>
      <c r="H60" s="501"/>
      <c r="I60" s="501"/>
      <c r="J60" s="501"/>
      <c r="K60" s="501"/>
      <c r="L60" s="501"/>
      <c r="M60" s="501"/>
      <c r="N60" s="501"/>
      <c r="O60" s="501"/>
      <c r="P60" s="501"/>
      <c r="Q60" s="501"/>
      <c r="R60" s="501"/>
      <c r="S60" s="501"/>
      <c r="T60" s="501"/>
      <c r="U60" s="501"/>
      <c r="V60" s="501"/>
      <c r="W60" s="501"/>
      <c r="X60" s="501"/>
      <c r="Y60" s="501"/>
      <c r="Z60" s="501"/>
      <c r="AA60" s="501"/>
      <c r="AB60" s="500"/>
      <c r="AC60" s="499"/>
      <c r="AD60" s="499"/>
    </row>
    <row r="61" spans="1:30" s="498" customFormat="1" ht="15.75" x14ac:dyDescent="0.25">
      <c r="A61" s="502"/>
      <c r="B61" s="953" t="s">
        <v>188</v>
      </c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4"/>
      <c r="R61" s="954"/>
      <c r="S61" s="954"/>
      <c r="T61" s="954"/>
      <c r="U61" s="954"/>
      <c r="V61" s="501"/>
      <c r="W61" s="501"/>
      <c r="X61" s="501"/>
      <c r="Y61" s="501"/>
      <c r="Z61" s="501"/>
      <c r="AA61" s="501"/>
      <c r="AB61" s="500"/>
      <c r="AC61" s="499"/>
      <c r="AD61" s="499"/>
    </row>
    <row r="62" spans="1:30" s="498" customFormat="1" ht="15.75" x14ac:dyDescent="0.25">
      <c r="A62" s="502"/>
      <c r="B62" s="953" t="s">
        <v>187</v>
      </c>
      <c r="C62" s="954"/>
      <c r="D62" s="954"/>
      <c r="E62" s="954"/>
      <c r="F62" s="954"/>
      <c r="G62" s="954"/>
      <c r="H62" s="954"/>
      <c r="I62" s="954"/>
      <c r="J62" s="954"/>
      <c r="K62" s="954"/>
      <c r="L62" s="954"/>
      <c r="M62" s="954"/>
      <c r="N62" s="954"/>
      <c r="O62" s="954"/>
      <c r="P62" s="954"/>
      <c r="Q62" s="954"/>
      <c r="R62" s="954"/>
      <c r="S62" s="954"/>
      <c r="T62" s="954"/>
      <c r="U62" s="954"/>
      <c r="V62" s="501"/>
      <c r="W62" s="501"/>
      <c r="X62" s="501"/>
      <c r="Y62" s="501"/>
      <c r="Z62" s="501"/>
      <c r="AA62" s="501"/>
      <c r="AB62" s="500"/>
      <c r="AC62" s="499"/>
      <c r="AD62" s="499"/>
    </row>
    <row r="63" spans="1:30" s="498" customFormat="1" ht="15.75" x14ac:dyDescent="0.25">
      <c r="A63" s="502"/>
      <c r="B63" s="953" t="s">
        <v>186</v>
      </c>
      <c r="C63" s="954"/>
      <c r="D63" s="954"/>
      <c r="E63" s="954"/>
      <c r="F63" s="954"/>
      <c r="G63" s="954"/>
      <c r="H63" s="954"/>
      <c r="I63" s="954"/>
      <c r="J63" s="954"/>
      <c r="K63" s="954"/>
      <c r="L63" s="954"/>
      <c r="M63" s="954"/>
      <c r="N63" s="954"/>
      <c r="O63" s="954"/>
      <c r="P63" s="954"/>
      <c r="Q63" s="954"/>
      <c r="R63" s="954"/>
      <c r="S63" s="954"/>
      <c r="T63" s="954"/>
      <c r="U63" s="954"/>
      <c r="V63" s="501"/>
      <c r="W63" s="501"/>
      <c r="X63" s="501"/>
      <c r="Y63" s="501"/>
      <c r="Z63" s="501"/>
      <c r="AA63" s="501"/>
      <c r="AB63" s="500"/>
      <c r="AC63" s="499"/>
      <c r="AD63" s="499"/>
    </row>
    <row r="64" spans="1:30" x14ac:dyDescent="0.25">
      <c r="A64" s="1"/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10"/>
      <c r="W64" s="110"/>
      <c r="X64" s="110"/>
      <c r="Y64" s="110"/>
      <c r="Z64" s="110"/>
      <c r="AA64" s="110"/>
      <c r="AB64" s="140"/>
      <c r="AC64" s="3"/>
      <c r="AD64" s="3"/>
    </row>
    <row r="65" spans="1:30" x14ac:dyDescent="0.25">
      <c r="A65" s="1"/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10"/>
      <c r="W65" s="110"/>
      <c r="X65" s="110"/>
      <c r="Y65" s="110"/>
      <c r="Z65" s="110"/>
      <c r="AA65" s="110"/>
      <c r="AB65" s="140"/>
      <c r="AC65" s="3"/>
      <c r="AD65" s="3"/>
    </row>
    <row r="66" spans="1:30" x14ac:dyDescent="0.25">
      <c r="A66" s="1"/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10"/>
      <c r="W66" s="110"/>
      <c r="X66" s="110"/>
      <c r="Y66" s="110"/>
      <c r="Z66" s="110"/>
      <c r="AA66" s="110"/>
      <c r="AB66" s="140"/>
      <c r="AC66" s="3"/>
      <c r="AD66" s="3"/>
    </row>
    <row r="67" spans="1:30" x14ac:dyDescent="0.25">
      <c r="A67" s="1"/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10"/>
      <c r="W67" s="110"/>
      <c r="X67" s="110"/>
      <c r="Y67" s="110"/>
      <c r="Z67" s="110"/>
      <c r="AA67" s="110"/>
      <c r="AB67" s="140"/>
      <c r="AC67" s="3"/>
      <c r="AD67" s="3"/>
    </row>
    <row r="68" spans="1:30" x14ac:dyDescent="0.25">
      <c r="A68" s="1"/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10"/>
      <c r="W68" s="110"/>
      <c r="X68" s="110"/>
      <c r="Y68" s="110"/>
      <c r="Z68" s="110"/>
      <c r="AA68" s="110"/>
      <c r="AB68" s="140"/>
      <c r="AC68" s="3"/>
      <c r="AD68" s="3"/>
    </row>
    <row r="69" spans="1:30" x14ac:dyDescent="0.25">
      <c r="A69" s="1"/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10"/>
      <c r="W69" s="110"/>
      <c r="X69" s="110"/>
      <c r="Y69" s="110"/>
      <c r="Z69" s="110"/>
      <c r="AA69" s="110"/>
      <c r="AB69" s="140"/>
      <c r="AC69" s="3"/>
      <c r="AD69" s="3"/>
    </row>
    <row r="70" spans="1:30" x14ac:dyDescent="0.25">
      <c r="A70" s="1"/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10"/>
      <c r="W70" s="110"/>
      <c r="X70" s="110"/>
      <c r="Y70" s="110"/>
      <c r="Z70" s="110"/>
      <c r="AA70" s="110"/>
      <c r="AB70" s="140"/>
      <c r="AC70" s="3"/>
      <c r="AD70" s="3"/>
    </row>
    <row r="71" spans="1:30" x14ac:dyDescent="0.25">
      <c r="A71" s="1"/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10"/>
      <c r="W71" s="110"/>
      <c r="X71" s="110"/>
      <c r="Y71" s="110"/>
      <c r="Z71" s="110"/>
      <c r="AA71" s="110"/>
      <c r="AB71" s="140"/>
      <c r="AC71" s="3"/>
      <c r="AD71" s="3"/>
    </row>
    <row r="72" spans="1:30" x14ac:dyDescent="0.25">
      <c r="A72" s="104"/>
      <c r="B72" s="152"/>
      <c r="C72" s="153"/>
      <c r="D72" s="152"/>
      <c r="E72" s="152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25">
      <c r="A73" s="104"/>
      <c r="B73" s="152"/>
      <c r="C73" s="153"/>
      <c r="D73" s="152"/>
      <c r="E73" s="152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5">
      <c r="A74" s="1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5">
      <c r="A75" s="1"/>
      <c r="B75" s="155" t="s">
        <v>109</v>
      </c>
      <c r="C75" s="156">
        <v>44854</v>
      </c>
      <c r="D75" s="155" t="s">
        <v>110</v>
      </c>
      <c r="E75" s="921" t="s">
        <v>185</v>
      </c>
      <c r="F75" s="921"/>
      <c r="G75" s="921"/>
      <c r="H75" s="155"/>
      <c r="I75" s="155" t="s">
        <v>112</v>
      </c>
      <c r="J75" s="922" t="s">
        <v>184</v>
      </c>
      <c r="K75" s="922"/>
      <c r="L75" s="922"/>
      <c r="M75" s="922"/>
      <c r="N75" s="155"/>
      <c r="O75" s="155"/>
      <c r="P75" s="155"/>
      <c r="Q75" s="155"/>
      <c r="R75" s="155"/>
      <c r="S75" s="155"/>
      <c r="T75" s="155"/>
      <c r="U75" s="155"/>
      <c r="V75" s="3"/>
      <c r="W75" s="3"/>
      <c r="X75" s="3"/>
      <c r="Y75" s="3"/>
      <c r="Z75" s="3"/>
      <c r="AA75" s="3"/>
      <c r="AB75" s="3"/>
      <c r="AC75" s="3"/>
      <c r="AD75" s="3"/>
    </row>
    <row r="76" spans="1:30" ht="7.5" customHeight="1" x14ac:dyDescent="0.25">
      <c r="A76" s="1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25">
      <c r="A77" s="1"/>
      <c r="B77" s="155"/>
      <c r="C77" s="155"/>
      <c r="D77" s="155" t="s">
        <v>114</v>
      </c>
      <c r="E77" s="157"/>
      <c r="F77" s="157"/>
      <c r="G77" s="157"/>
      <c r="H77" s="155"/>
      <c r="I77" s="155" t="s">
        <v>114</v>
      </c>
      <c r="J77" s="158"/>
      <c r="K77" s="158"/>
      <c r="L77" s="158"/>
      <c r="M77" s="158"/>
      <c r="N77" s="155"/>
      <c r="O77" s="155"/>
      <c r="P77" s="155"/>
      <c r="Q77" s="155"/>
      <c r="R77" s="155"/>
      <c r="S77" s="155"/>
      <c r="T77" s="155"/>
      <c r="U77" s="155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25">
      <c r="A78" s="1"/>
      <c r="B78" s="155"/>
      <c r="C78" s="155"/>
      <c r="D78" s="155"/>
      <c r="E78" s="157"/>
      <c r="F78" s="157"/>
      <c r="G78" s="157"/>
      <c r="H78" s="155"/>
      <c r="I78" s="155"/>
      <c r="J78" s="158"/>
      <c r="K78" s="158"/>
      <c r="L78" s="158"/>
      <c r="M78" s="158"/>
      <c r="N78" s="155"/>
      <c r="O78" s="155"/>
      <c r="P78" s="155"/>
      <c r="Q78" s="155"/>
      <c r="R78" s="155"/>
      <c r="S78" s="155"/>
      <c r="T78" s="155"/>
      <c r="U78" s="155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25">
      <c r="A79" s="1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25">
      <c r="A80" s="1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3"/>
      <c r="W80" s="3"/>
      <c r="X80" s="3"/>
      <c r="Y80" s="3"/>
      <c r="Z80" s="3"/>
      <c r="AA80" s="3"/>
      <c r="AB80" s="3"/>
      <c r="AC80" s="3"/>
      <c r="AD80" s="3"/>
    </row>
    <row r="81" spans="29:30" hidden="1" x14ac:dyDescent="0.25">
      <c r="AC81" s="4"/>
      <c r="AD81" s="4"/>
    </row>
    <row r="82" spans="29:30" hidden="1" x14ac:dyDescent="0.25"/>
    <row r="83" spans="29:30" hidden="1" x14ac:dyDescent="0.25"/>
    <row r="84" spans="29:30" hidden="1" x14ac:dyDescent="0.25"/>
    <row r="85" spans="29:30" hidden="1" x14ac:dyDescent="0.25"/>
    <row r="86" spans="29:30" hidden="1" x14ac:dyDescent="0.25"/>
    <row r="87" spans="29:30" hidden="1" x14ac:dyDescent="0.25"/>
    <row r="88" spans="29:30" hidden="1" x14ac:dyDescent="0.25"/>
    <row r="89" spans="29:30" hidden="1" x14ac:dyDescent="0.25"/>
    <row r="90" spans="29:30" hidden="1" x14ac:dyDescent="0.25"/>
    <row r="91" spans="29:30" hidden="1" x14ac:dyDescent="0.25"/>
    <row r="92" spans="29:30" hidden="1" x14ac:dyDescent="0.25"/>
    <row r="93" spans="29:30" hidden="1" x14ac:dyDescent="0.25"/>
    <row r="94" spans="29:30" hidden="1" x14ac:dyDescent="0.25"/>
    <row r="95" spans="29:30" hidden="1" x14ac:dyDescent="0.25"/>
    <row r="96" spans="29:30" hidden="1" x14ac:dyDescent="0.25"/>
    <row r="97" ht="15" hidden="1" customHeight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t="15" hidden="1" customHeight="1" x14ac:dyDescent="0.25"/>
    <row r="112" ht="15" hidden="1" customHeight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4">
    <mergeCell ref="B10:B13"/>
    <mergeCell ref="P10:U10"/>
    <mergeCell ref="P11:S11"/>
    <mergeCell ref="P12:U12"/>
    <mergeCell ref="P13:R13"/>
    <mergeCell ref="G13:G14"/>
    <mergeCell ref="J10:O10"/>
    <mergeCell ref="J11:M11"/>
    <mergeCell ref="J12:O12"/>
    <mergeCell ref="J13:L13"/>
    <mergeCell ref="M13:M14"/>
    <mergeCell ref="N13:N14"/>
    <mergeCell ref="M26:M27"/>
    <mergeCell ref="N26:N27"/>
    <mergeCell ref="O26:O27"/>
    <mergeCell ref="I13:I14"/>
    <mergeCell ref="D25:I25"/>
    <mergeCell ref="D26:F26"/>
    <mergeCell ref="G26:G27"/>
    <mergeCell ref="E75:G75"/>
    <mergeCell ref="J75:M75"/>
    <mergeCell ref="B63:U63"/>
    <mergeCell ref="D4:U4"/>
    <mergeCell ref="D8:U8"/>
    <mergeCell ref="C43:C44"/>
    <mergeCell ref="C46:C47"/>
    <mergeCell ref="C26:C27"/>
    <mergeCell ref="D12:I12"/>
    <mergeCell ref="B62:U62"/>
    <mergeCell ref="D59:U59"/>
    <mergeCell ref="B61:U61"/>
    <mergeCell ref="B26:B27"/>
    <mergeCell ref="O13:O14"/>
    <mergeCell ref="J25:O25"/>
    <mergeCell ref="J26:L26"/>
    <mergeCell ref="D10:I10"/>
    <mergeCell ref="D11:G11"/>
    <mergeCell ref="C10:C13"/>
    <mergeCell ref="D13:F13"/>
    <mergeCell ref="H26:H27"/>
    <mergeCell ref="I26:I27"/>
    <mergeCell ref="H13:H14"/>
    <mergeCell ref="S13:S14"/>
    <mergeCell ref="T13:T14"/>
    <mergeCell ref="U13:U14"/>
    <mergeCell ref="P25:U25"/>
    <mergeCell ref="P26:R26"/>
    <mergeCell ref="S26:S27"/>
    <mergeCell ref="T26:T27"/>
    <mergeCell ref="U26:U27"/>
    <mergeCell ref="V10:AA10"/>
    <mergeCell ref="V25:AA25"/>
    <mergeCell ref="Y13:Y14"/>
    <mergeCell ref="Z13:Z14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</mergeCells>
  <conditionalFormatting sqref="AB15:AB25">
    <cfRule type="cellIs" dxfId="47" priority="3" operator="equal">
      <formula>0</formula>
    </cfRule>
    <cfRule type="containsErrors" dxfId="46" priority="4">
      <formula>ISERROR(AB15)</formula>
    </cfRule>
  </conditionalFormatting>
  <conditionalFormatting sqref="AB28:AB41">
    <cfRule type="cellIs" dxfId="45" priority="1" operator="equal">
      <formula>0</formula>
    </cfRule>
    <cfRule type="containsErrors" dxfId="44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opLeftCell="K1" zoomScale="53" zoomScaleNormal="53" zoomScaleSheetLayoutView="89" workbookViewId="0">
      <selection activeCell="W31" sqref="W3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59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199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46789707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27" t="s">
        <v>200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9</v>
      </c>
      <c r="K10" s="883"/>
      <c r="L10" s="883"/>
      <c r="M10" s="883"/>
      <c r="N10" s="883"/>
      <c r="O10" s="884"/>
      <c r="P10" s="882" t="s">
        <v>10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890"/>
      <c r="H14" s="892"/>
      <c r="I14" s="912"/>
      <c r="J14" s="11" t="s">
        <v>20</v>
      </c>
      <c r="K14" s="12" t="s">
        <v>21</v>
      </c>
      <c r="L14" s="12" t="s">
        <v>22</v>
      </c>
      <c r="M14" s="890"/>
      <c r="N14" s="892"/>
      <c r="O14" s="912"/>
      <c r="P14" s="11" t="s">
        <v>20</v>
      </c>
      <c r="Q14" s="12" t="s">
        <v>21</v>
      </c>
      <c r="R14" s="12" t="s">
        <v>22</v>
      </c>
      <c r="S14" s="890"/>
      <c r="T14" s="892"/>
      <c r="U14" s="912"/>
      <c r="V14" s="11" t="s">
        <v>20</v>
      </c>
      <c r="W14" s="12" t="s">
        <v>21</v>
      </c>
      <c r="X14" s="12" t="s">
        <v>22</v>
      </c>
      <c r="Y14" s="890"/>
      <c r="Z14" s="892"/>
      <c r="AA14" s="912"/>
      <c r="AB14" s="902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/>
      <c r="G15" s="18">
        <f>SUM(D15:F15)</f>
        <v>0</v>
      </c>
      <c r="H15" s="19">
        <v>110.5</v>
      </c>
      <c r="I15" s="20">
        <f>G15+H15</f>
        <v>110.5</v>
      </c>
      <c r="J15" s="15"/>
      <c r="K15" s="16"/>
      <c r="L15" s="17">
        <v>1000</v>
      </c>
      <c r="M15" s="18">
        <f t="shared" ref="M15:M23" si="0">SUM(J15:L15)</f>
        <v>1000</v>
      </c>
      <c r="N15" s="19">
        <v>100</v>
      </c>
      <c r="O15" s="20">
        <f>M15+N15</f>
        <v>1100</v>
      </c>
      <c r="P15" s="15"/>
      <c r="Q15" s="16"/>
      <c r="R15" s="17">
        <v>1296.3</v>
      </c>
      <c r="S15" s="18">
        <f>SUM(P15:R15)</f>
        <v>1296.3</v>
      </c>
      <c r="T15" s="19">
        <v>98.9</v>
      </c>
      <c r="U15" s="20">
        <f>S15+T15</f>
        <v>1395.2</v>
      </c>
      <c r="V15" s="15"/>
      <c r="W15" s="16"/>
      <c r="X15" s="17">
        <v>1000</v>
      </c>
      <c r="Y15" s="18">
        <f>SUM(V15:X15)</f>
        <v>1000</v>
      </c>
      <c r="Z15" s="19">
        <v>100</v>
      </c>
      <c r="AA15" s="20">
        <f>Y15+Z15</f>
        <v>1100</v>
      </c>
      <c r="AB15" s="21">
        <f>(AA15/O15)</f>
        <v>1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4616.8</v>
      </c>
      <c r="E16" s="25"/>
      <c r="F16" s="25"/>
      <c r="G16" s="26">
        <f t="shared" ref="G16:G23" si="1">SUM(D16:F16)</f>
        <v>4616.8</v>
      </c>
      <c r="H16" s="27"/>
      <c r="I16" s="20">
        <f t="shared" ref="I16:I23" si="2">G16+H16</f>
        <v>4616.8</v>
      </c>
      <c r="J16" s="24">
        <v>5053</v>
      </c>
      <c r="K16" s="25"/>
      <c r="L16" s="25"/>
      <c r="M16" s="26">
        <f t="shared" si="0"/>
        <v>5053</v>
      </c>
      <c r="N16" s="27"/>
      <c r="O16" s="20">
        <f t="shared" ref="O16:O20" si="3">M16+N16</f>
        <v>5053</v>
      </c>
      <c r="P16" s="24">
        <v>2720</v>
      </c>
      <c r="Q16" s="25"/>
      <c r="R16" s="25">
        <v>0</v>
      </c>
      <c r="S16" s="26">
        <v>2720</v>
      </c>
      <c r="T16" s="27"/>
      <c r="U16" s="20">
        <f t="shared" ref="U16:U20" si="4">S16+T16</f>
        <v>2720</v>
      </c>
      <c r="V16" s="24">
        <v>6109</v>
      </c>
      <c r="W16" s="25"/>
      <c r="X16" s="25"/>
      <c r="Y16" s="26">
        <f t="shared" ref="Y16:Y23" si="5">SUM(V16:X16)</f>
        <v>6109</v>
      </c>
      <c r="Z16" s="27"/>
      <c r="AA16" s="20">
        <f t="shared" ref="AA16:AA20" si="6">Y16+Z16</f>
        <v>6109</v>
      </c>
      <c r="AB16" s="21">
        <f t="shared" ref="AB16:AB24" si="7">(AA16/O16)</f>
        <v>1.2089847615278053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414.8</v>
      </c>
      <c r="E17" s="30"/>
      <c r="F17" s="30"/>
      <c r="G17" s="26">
        <f t="shared" si="1"/>
        <v>414.8</v>
      </c>
      <c r="H17" s="31"/>
      <c r="I17" s="20">
        <f t="shared" si="2"/>
        <v>414.8</v>
      </c>
      <c r="J17" s="29">
        <v>1686.1</v>
      </c>
      <c r="K17" s="30"/>
      <c r="L17" s="30"/>
      <c r="M17" s="26">
        <f t="shared" si="0"/>
        <v>1686.1</v>
      </c>
      <c r="N17" s="31"/>
      <c r="O17" s="20">
        <f t="shared" si="3"/>
        <v>1686.1</v>
      </c>
      <c r="P17" s="29">
        <v>94</v>
      </c>
      <c r="Q17" s="30"/>
      <c r="R17" s="30"/>
      <c r="S17" s="26">
        <f t="shared" ref="S17:S23" si="8">SUM(P17:R17)</f>
        <v>94</v>
      </c>
      <c r="T17" s="31"/>
      <c r="U17" s="20">
        <f t="shared" si="4"/>
        <v>94</v>
      </c>
      <c r="V17" s="29">
        <v>301.60000000000002</v>
      </c>
      <c r="W17" s="30"/>
      <c r="X17" s="30"/>
      <c r="Y17" s="26">
        <f t="shared" si="5"/>
        <v>301.60000000000002</v>
      </c>
      <c r="Z17" s="31"/>
      <c r="AA17" s="20">
        <f t="shared" si="6"/>
        <v>301.60000000000002</v>
      </c>
      <c r="AB17" s="21">
        <f t="shared" si="7"/>
        <v>0.1788743253662298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39695.4</v>
      </c>
      <c r="F18" s="30"/>
      <c r="G18" s="26">
        <f t="shared" si="1"/>
        <v>39695.4</v>
      </c>
      <c r="H18" s="19"/>
      <c r="I18" s="20">
        <f t="shared" si="2"/>
        <v>39695.4</v>
      </c>
      <c r="J18" s="33"/>
      <c r="K18" s="628">
        <v>40078</v>
      </c>
      <c r="L18" s="30"/>
      <c r="M18" s="26">
        <f t="shared" si="0"/>
        <v>40078</v>
      </c>
      <c r="N18" s="19"/>
      <c r="O18" s="20">
        <v>40078</v>
      </c>
      <c r="P18" s="33"/>
      <c r="Q18" s="34">
        <v>22240</v>
      </c>
      <c r="R18" s="30"/>
      <c r="S18" s="26">
        <v>22240</v>
      </c>
      <c r="T18" s="19"/>
      <c r="U18" s="20">
        <f t="shared" si="4"/>
        <v>22240</v>
      </c>
      <c r="V18" s="33"/>
      <c r="W18" s="34">
        <v>40078</v>
      </c>
      <c r="X18" s="30"/>
      <c r="Y18" s="26">
        <f t="shared" si="5"/>
        <v>40078</v>
      </c>
      <c r="Z18" s="19"/>
      <c r="AA18" s="20">
        <f t="shared" si="6"/>
        <v>40078</v>
      </c>
      <c r="AB18" s="21">
        <f t="shared" si="7"/>
        <v>1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629">
        <v>1097.3</v>
      </c>
      <c r="E19" s="30"/>
      <c r="F19" s="37"/>
      <c r="G19" s="26">
        <f t="shared" si="1"/>
        <v>1097.3</v>
      </c>
      <c r="H19" s="38"/>
      <c r="I19" s="20">
        <f t="shared" si="2"/>
        <v>1097.3</v>
      </c>
      <c r="J19" s="36"/>
      <c r="K19" s="30"/>
      <c r="L19" s="37"/>
      <c r="M19" s="26">
        <f t="shared" si="0"/>
        <v>0</v>
      </c>
      <c r="N19" s="38"/>
      <c r="O19" s="20">
        <f t="shared" si="3"/>
        <v>0</v>
      </c>
      <c r="P19" s="36"/>
      <c r="Q19" s="30"/>
      <c r="R19" s="37"/>
      <c r="S19" s="26">
        <f t="shared" si="8"/>
        <v>0</v>
      </c>
      <c r="T19" s="38"/>
      <c r="U19" s="20">
        <f t="shared" si="4"/>
        <v>0</v>
      </c>
      <c r="V19" s="36"/>
      <c r="W19" s="30"/>
      <c r="X19" s="37"/>
      <c r="Y19" s="26">
        <f t="shared" si="5"/>
        <v>0</v>
      </c>
      <c r="Z19" s="38"/>
      <c r="AA19" s="20">
        <f t="shared" si="6"/>
        <v>0</v>
      </c>
      <c r="AB19" s="21" t="e">
        <f t="shared" si="7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41.5</v>
      </c>
      <c r="G20" s="26">
        <v>41.5</v>
      </c>
      <c r="H20" s="38"/>
      <c r="I20" s="20">
        <f t="shared" si="2"/>
        <v>41.5</v>
      </c>
      <c r="J20" s="33"/>
      <c r="K20" s="25"/>
      <c r="L20" s="40">
        <v>100</v>
      </c>
      <c r="M20" s="26">
        <f t="shared" si="0"/>
        <v>100</v>
      </c>
      <c r="N20" s="38"/>
      <c r="O20" s="20">
        <f t="shared" si="3"/>
        <v>100</v>
      </c>
      <c r="P20" s="33"/>
      <c r="Q20" s="25"/>
      <c r="R20" s="40">
        <v>71.400000000000006</v>
      </c>
      <c r="S20" s="26">
        <f t="shared" si="8"/>
        <v>71.400000000000006</v>
      </c>
      <c r="T20" s="38"/>
      <c r="U20" s="20">
        <f t="shared" si="4"/>
        <v>71.400000000000006</v>
      </c>
      <c r="V20" s="33"/>
      <c r="W20" s="25"/>
      <c r="X20" s="40"/>
      <c r="Y20" s="26">
        <f t="shared" si="5"/>
        <v>0</v>
      </c>
      <c r="Z20" s="38"/>
      <c r="AA20" s="20">
        <f t="shared" si="6"/>
        <v>0</v>
      </c>
      <c r="AB20" s="21">
        <f t="shared" si="7"/>
        <v>0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1876.2</v>
      </c>
      <c r="G21" s="26">
        <f t="shared" si="1"/>
        <v>1876.2</v>
      </c>
      <c r="H21" s="42"/>
      <c r="I21" s="20">
        <f>G21+H21</f>
        <v>1876.2</v>
      </c>
      <c r="J21" s="33"/>
      <c r="K21" s="25"/>
      <c r="L21" s="40">
        <v>32</v>
      </c>
      <c r="M21" s="26">
        <f t="shared" si="0"/>
        <v>32</v>
      </c>
      <c r="N21" s="42"/>
      <c r="O21" s="20">
        <f>M21+N21</f>
        <v>32</v>
      </c>
      <c r="P21" s="33"/>
      <c r="Q21" s="25"/>
      <c r="R21" s="40">
        <v>189.6</v>
      </c>
      <c r="S21" s="26">
        <f t="shared" si="8"/>
        <v>189.6</v>
      </c>
      <c r="T21" s="42"/>
      <c r="U21" s="20">
        <f>S21+T21</f>
        <v>189.6</v>
      </c>
      <c r="V21" s="33"/>
      <c r="W21" s="25"/>
      <c r="X21" s="40"/>
      <c r="Y21" s="26">
        <f t="shared" si="5"/>
        <v>0</v>
      </c>
      <c r="Z21" s="42"/>
      <c r="AA21" s="20">
        <f>Y21+Z21</f>
        <v>0</v>
      </c>
      <c r="AB21" s="21">
        <f t="shared" si="7"/>
        <v>0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/>
      <c r="I22" s="20">
        <f t="shared" si="2"/>
        <v>0</v>
      </c>
      <c r="J22" s="33"/>
      <c r="K22" s="25"/>
      <c r="L22" s="40"/>
      <c r="M22" s="26">
        <f t="shared" si="0"/>
        <v>0</v>
      </c>
      <c r="N22" s="42"/>
      <c r="O22" s="20">
        <f t="shared" ref="O22:O23" si="9">M22+N22</f>
        <v>0</v>
      </c>
      <c r="P22" s="33"/>
      <c r="Q22" s="25"/>
      <c r="R22" s="40">
        <v>0</v>
      </c>
      <c r="S22" s="26">
        <f t="shared" si="8"/>
        <v>0</v>
      </c>
      <c r="T22" s="42"/>
      <c r="U22" s="20">
        <f t="shared" ref="U22:U23" si="10">S22+T22</f>
        <v>0</v>
      </c>
      <c r="V22" s="33"/>
      <c r="W22" s="25"/>
      <c r="X22" s="40"/>
      <c r="Y22" s="26">
        <f t="shared" si="5"/>
        <v>0</v>
      </c>
      <c r="Z22" s="42"/>
      <c r="AA22" s="20">
        <f t="shared" ref="AA22:AA23" si="11">Y22+Z22</f>
        <v>0</v>
      </c>
      <c r="AB22" s="21" t="e">
        <f t="shared" si="7"/>
        <v>#DIV/0!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>
        <v>0</v>
      </c>
      <c r="S23" s="48">
        <f t="shared" si="8"/>
        <v>0</v>
      </c>
      <c r="T23" s="49"/>
      <c r="U23" s="50">
        <f t="shared" si="10"/>
        <v>0</v>
      </c>
      <c r="V23" s="45"/>
      <c r="W23" s="46"/>
      <c r="X23" s="47"/>
      <c r="Y23" s="48">
        <f t="shared" si="5"/>
        <v>0</v>
      </c>
      <c r="Z23" s="49"/>
      <c r="AA23" s="50">
        <f t="shared" si="11"/>
        <v>0</v>
      </c>
      <c r="AB23" s="51" t="e">
        <f t="shared" si="7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6128.9000000000005</v>
      </c>
      <c r="E24" s="55">
        <f>SUM(E15:E21)</f>
        <v>39695.4</v>
      </c>
      <c r="F24" s="55">
        <f>SUM(F15:F21)</f>
        <v>1917.7</v>
      </c>
      <c r="G24" s="56">
        <f>SUM(D24:F24)</f>
        <v>47742</v>
      </c>
      <c r="H24" s="57">
        <f>SUM(H15:H21)</f>
        <v>110.5</v>
      </c>
      <c r="I24" s="57">
        <f>SUM(I15:I21)</f>
        <v>47852.5</v>
      </c>
      <c r="J24" s="54">
        <f>SUM(J15:J21)</f>
        <v>6739.1</v>
      </c>
      <c r="K24" s="55">
        <f>SUM(K15:K21)</f>
        <v>40078</v>
      </c>
      <c r="L24" s="55">
        <f>SUM(L15:L21)</f>
        <v>1132</v>
      </c>
      <c r="M24" s="56">
        <f>SUM(J24:L24)</f>
        <v>47949.1</v>
      </c>
      <c r="N24" s="57">
        <f>SUM(N15:N21)</f>
        <v>100</v>
      </c>
      <c r="O24" s="57">
        <f>SUM(O15:O21)</f>
        <v>48049.1</v>
      </c>
      <c r="P24" s="54">
        <f>SUM(P15:P21)</f>
        <v>2814</v>
      </c>
      <c r="Q24" s="55">
        <f>SUM(Q15:Q21)</f>
        <v>22240</v>
      </c>
      <c r="R24" s="55">
        <f>SUM(R15:R21)</f>
        <v>1557.3</v>
      </c>
      <c r="S24" s="56">
        <f>SUM(P24:R24)</f>
        <v>26611.3</v>
      </c>
      <c r="T24" s="57">
        <f>SUM(T15:T21)</f>
        <v>98.9</v>
      </c>
      <c r="U24" s="57">
        <f>SUM(U15:U21)</f>
        <v>26710.2</v>
      </c>
      <c r="V24" s="54">
        <f>SUM(V15:V21)</f>
        <v>6410.6</v>
      </c>
      <c r="W24" s="55">
        <f>SUM(W15:W21)</f>
        <v>40078</v>
      </c>
      <c r="X24" s="55">
        <f>SUM(X15:X21)</f>
        <v>1000</v>
      </c>
      <c r="Y24" s="56">
        <f>SUM(V24:X24)</f>
        <v>47488.6</v>
      </c>
      <c r="Z24" s="57">
        <f>SUM(Z15:Z21)</f>
        <v>100</v>
      </c>
      <c r="AA24" s="57">
        <f>SUM(AA15:AA21)</f>
        <v>47588.6</v>
      </c>
      <c r="AB24" s="58">
        <f t="shared" si="7"/>
        <v>0.99041605357852691</v>
      </c>
      <c r="AC24" s="3"/>
      <c r="AD24" s="3"/>
    </row>
    <row r="25" spans="1:30" ht="15.75" customHeight="1" thickBot="1" x14ac:dyDescent="0.3">
      <c r="A25" s="1"/>
      <c r="B25" s="59"/>
      <c r="C25" s="60"/>
      <c r="D25" s="885" t="s">
        <v>43</v>
      </c>
      <c r="E25" s="886"/>
      <c r="F25" s="886"/>
      <c r="G25" s="887"/>
      <c r="H25" s="887"/>
      <c r="I25" s="888"/>
      <c r="J25" s="885" t="s">
        <v>43</v>
      </c>
      <c r="K25" s="886"/>
      <c r="L25" s="886"/>
      <c r="M25" s="887"/>
      <c r="N25" s="887"/>
      <c r="O25" s="888"/>
      <c r="P25" s="885" t="s">
        <v>43</v>
      </c>
      <c r="Q25" s="886"/>
      <c r="R25" s="886"/>
      <c r="S25" s="887"/>
      <c r="T25" s="887"/>
      <c r="U25" s="888"/>
      <c r="V25" s="885" t="s">
        <v>43</v>
      </c>
      <c r="W25" s="886"/>
      <c r="X25" s="886"/>
      <c r="Y25" s="887"/>
      <c r="Z25" s="887"/>
      <c r="AA25" s="888"/>
      <c r="AB25" s="893" t="s">
        <v>12</v>
      </c>
      <c r="AC25" s="3"/>
      <c r="AD25" s="3"/>
    </row>
    <row r="26" spans="1:30" ht="15.75" thickBot="1" x14ac:dyDescent="0.3">
      <c r="A26" s="1"/>
      <c r="B26" s="932" t="s">
        <v>6</v>
      </c>
      <c r="C26" s="917" t="s">
        <v>7</v>
      </c>
      <c r="D26" s="896" t="s">
        <v>44</v>
      </c>
      <c r="E26" s="897"/>
      <c r="F26" s="897"/>
      <c r="G26" s="913" t="s">
        <v>45</v>
      </c>
      <c r="H26" s="915" t="s">
        <v>46</v>
      </c>
      <c r="I26" s="898" t="s">
        <v>43</v>
      </c>
      <c r="J26" s="896" t="s">
        <v>44</v>
      </c>
      <c r="K26" s="897"/>
      <c r="L26" s="897"/>
      <c r="M26" s="913" t="s">
        <v>45</v>
      </c>
      <c r="N26" s="915" t="s">
        <v>46</v>
      </c>
      <c r="O26" s="898" t="s">
        <v>43</v>
      </c>
      <c r="P26" s="896" t="s">
        <v>44</v>
      </c>
      <c r="Q26" s="897"/>
      <c r="R26" s="897"/>
      <c r="S26" s="913" t="s">
        <v>45</v>
      </c>
      <c r="T26" s="915" t="s">
        <v>46</v>
      </c>
      <c r="U26" s="898" t="s">
        <v>43</v>
      </c>
      <c r="V26" s="896" t="s">
        <v>44</v>
      </c>
      <c r="W26" s="897"/>
      <c r="X26" s="897"/>
      <c r="Y26" s="913" t="s">
        <v>45</v>
      </c>
      <c r="Z26" s="915" t="s">
        <v>46</v>
      </c>
      <c r="AA26" s="898" t="s">
        <v>43</v>
      </c>
      <c r="AB26" s="894"/>
      <c r="AC26" s="3"/>
      <c r="AD26" s="3"/>
    </row>
    <row r="27" spans="1:30" ht="15.75" thickBot="1" x14ac:dyDescent="0.3">
      <c r="A27" s="1"/>
      <c r="B27" s="933"/>
      <c r="C27" s="918"/>
      <c r="D27" s="61" t="s">
        <v>47</v>
      </c>
      <c r="E27" s="62" t="s">
        <v>48</v>
      </c>
      <c r="F27" s="63" t="s">
        <v>49</v>
      </c>
      <c r="G27" s="914"/>
      <c r="H27" s="916"/>
      <c r="I27" s="899"/>
      <c r="J27" s="61" t="s">
        <v>47</v>
      </c>
      <c r="K27" s="62" t="s">
        <v>48</v>
      </c>
      <c r="L27" s="63" t="s">
        <v>49</v>
      </c>
      <c r="M27" s="914"/>
      <c r="N27" s="916"/>
      <c r="O27" s="899"/>
      <c r="P27" s="61" t="s">
        <v>47</v>
      </c>
      <c r="Q27" s="62" t="s">
        <v>48</v>
      </c>
      <c r="R27" s="63" t="s">
        <v>49</v>
      </c>
      <c r="S27" s="914"/>
      <c r="T27" s="916"/>
      <c r="U27" s="899"/>
      <c r="V27" s="61" t="s">
        <v>47</v>
      </c>
      <c r="W27" s="62" t="s">
        <v>48</v>
      </c>
      <c r="X27" s="63" t="s">
        <v>49</v>
      </c>
      <c r="Y27" s="914"/>
      <c r="Z27" s="916"/>
      <c r="AA27" s="899"/>
      <c r="AB27" s="895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872</v>
      </c>
      <c r="E28" s="65"/>
      <c r="F28" s="65"/>
      <c r="G28" s="66">
        <f>SUM(D28:F28)</f>
        <v>872</v>
      </c>
      <c r="H28" s="66"/>
      <c r="I28" s="67">
        <f>G28+H28</f>
        <v>872</v>
      </c>
      <c r="J28" s="68">
        <v>240</v>
      </c>
      <c r="K28" s="65"/>
      <c r="L28" s="65"/>
      <c r="M28" s="66">
        <f>SUM(J28:L28)</f>
        <v>240</v>
      </c>
      <c r="N28" s="66"/>
      <c r="O28" s="67">
        <f>M28+N28</f>
        <v>240</v>
      </c>
      <c r="P28" s="68">
        <v>58.9</v>
      </c>
      <c r="Q28" s="65">
        <v>0</v>
      </c>
      <c r="R28" s="65"/>
      <c r="S28" s="66">
        <f>SUM(P28:R28)</f>
        <v>58.9</v>
      </c>
      <c r="T28" s="66"/>
      <c r="U28" s="67">
        <f>S28+T28</f>
        <v>58.9</v>
      </c>
      <c r="V28" s="68">
        <v>240</v>
      </c>
      <c r="W28" s="65"/>
      <c r="X28" s="65"/>
      <c r="Y28" s="66">
        <f>SUM(V28:X28)</f>
        <v>240</v>
      </c>
      <c r="Z28" s="66"/>
      <c r="AA28" s="67">
        <f>Y28+Z28</f>
        <v>240</v>
      </c>
      <c r="AB28" s="21">
        <f t="shared" ref="AB28:AB41" si="12">(AA28/O28)</f>
        <v>1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467.5</v>
      </c>
      <c r="E29" s="70">
        <v>263.89999999999998</v>
      </c>
      <c r="F29" s="70">
        <v>1894.8</v>
      </c>
      <c r="G29" s="71">
        <f t="shared" ref="G29:G38" si="13">SUM(D29:F29)</f>
        <v>2626.2</v>
      </c>
      <c r="H29" s="72"/>
      <c r="I29" s="20">
        <f t="shared" ref="I29:I38" si="14">G29+H29</f>
        <v>2626.2</v>
      </c>
      <c r="J29" s="73">
        <v>795</v>
      </c>
      <c r="K29" s="70">
        <v>506.2</v>
      </c>
      <c r="L29" s="70">
        <v>1050</v>
      </c>
      <c r="M29" s="71">
        <f t="shared" ref="M29:M38" si="15">SUM(J29:L29)</f>
        <v>2351.1999999999998</v>
      </c>
      <c r="N29" s="72">
        <v>10</v>
      </c>
      <c r="O29" s="20">
        <f t="shared" ref="O29:O38" si="16">M29+N29</f>
        <v>2361.1999999999998</v>
      </c>
      <c r="P29" s="73">
        <v>425.8</v>
      </c>
      <c r="Q29" s="70">
        <v>312.7</v>
      </c>
      <c r="R29" s="70">
        <v>1252.7</v>
      </c>
      <c r="S29" s="71">
        <f t="shared" ref="S29:S35" si="17">SUM(P29:R29)</f>
        <v>1991.2</v>
      </c>
      <c r="T29" s="72"/>
      <c r="U29" s="20">
        <f t="shared" ref="U29:U38" si="18">S29+T29</f>
        <v>1991.2</v>
      </c>
      <c r="V29" s="73">
        <v>835</v>
      </c>
      <c r="W29" s="70">
        <v>506.2</v>
      </c>
      <c r="X29" s="70">
        <v>965</v>
      </c>
      <c r="Y29" s="71">
        <f t="shared" ref="Y29:Y38" si="19">SUM(V29:X29)</f>
        <v>2306.1999999999998</v>
      </c>
      <c r="Z29" s="72">
        <v>10</v>
      </c>
      <c r="AA29" s="20">
        <f t="shared" ref="AA29:AA38" si="20">Y29+Z29</f>
        <v>2316.1999999999998</v>
      </c>
      <c r="AB29" s="21">
        <f t="shared" si="12"/>
        <v>0.98094189395222764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1516.2</v>
      </c>
      <c r="E30" s="74"/>
      <c r="F30" s="74" t="s">
        <v>132</v>
      </c>
      <c r="G30" s="71">
        <f t="shared" si="13"/>
        <v>1516.2</v>
      </c>
      <c r="H30" s="71">
        <v>14.5</v>
      </c>
      <c r="I30" s="20">
        <f t="shared" si="14"/>
        <v>1530.7</v>
      </c>
      <c r="J30" s="75">
        <v>1563</v>
      </c>
      <c r="K30" s="74"/>
      <c r="L30" s="74"/>
      <c r="M30" s="71">
        <f t="shared" si="15"/>
        <v>1563</v>
      </c>
      <c r="N30" s="71">
        <v>20</v>
      </c>
      <c r="O30" s="20">
        <f t="shared" si="16"/>
        <v>1583</v>
      </c>
      <c r="P30" s="75">
        <v>1113.8</v>
      </c>
      <c r="Q30" s="74">
        <v>0</v>
      </c>
      <c r="R30" s="74"/>
      <c r="S30" s="71">
        <f t="shared" si="17"/>
        <v>1113.8</v>
      </c>
      <c r="T30" s="71">
        <v>17</v>
      </c>
      <c r="U30" s="20">
        <f t="shared" si="18"/>
        <v>1130.8</v>
      </c>
      <c r="V30" s="75">
        <v>2263</v>
      </c>
      <c r="W30" s="74"/>
      <c r="X30" s="74"/>
      <c r="Y30" s="71">
        <v>2863</v>
      </c>
      <c r="Z30" s="71">
        <v>35</v>
      </c>
      <c r="AA30" s="20">
        <f t="shared" si="20"/>
        <v>2898</v>
      </c>
      <c r="AB30" s="21">
        <f t="shared" si="12"/>
        <v>1.8307012002526848</v>
      </c>
      <c r="AC30" s="3"/>
      <c r="AD30" s="3"/>
    </row>
    <row r="31" spans="1:30" x14ac:dyDescent="0.25">
      <c r="A31" s="1"/>
      <c r="B31" s="22" t="s">
        <v>56</v>
      </c>
      <c r="C31" s="41" t="s">
        <v>57</v>
      </c>
      <c r="D31" s="74">
        <v>766.9</v>
      </c>
      <c r="E31" s="74">
        <v>131.5</v>
      </c>
      <c r="F31" s="74">
        <v>22.9</v>
      </c>
      <c r="G31" s="71">
        <f t="shared" si="13"/>
        <v>921.3</v>
      </c>
      <c r="H31" s="71"/>
      <c r="I31" s="20">
        <f t="shared" si="14"/>
        <v>921.3</v>
      </c>
      <c r="J31" s="75">
        <v>330</v>
      </c>
      <c r="K31" s="74">
        <v>40</v>
      </c>
      <c r="L31" s="74">
        <v>82</v>
      </c>
      <c r="M31" s="71">
        <f t="shared" si="15"/>
        <v>452</v>
      </c>
      <c r="N31" s="71"/>
      <c r="O31" s="20">
        <f t="shared" si="16"/>
        <v>452</v>
      </c>
      <c r="P31" s="75">
        <v>348.4</v>
      </c>
      <c r="Q31" s="74">
        <v>123.7</v>
      </c>
      <c r="R31" s="74">
        <v>30.7</v>
      </c>
      <c r="S31" s="71">
        <f t="shared" si="17"/>
        <v>502.79999999999995</v>
      </c>
      <c r="T31" s="71"/>
      <c r="U31" s="20">
        <f t="shared" si="18"/>
        <v>502.79999999999995</v>
      </c>
      <c r="V31" s="75">
        <v>524.6</v>
      </c>
      <c r="W31" s="74">
        <v>40</v>
      </c>
      <c r="X31" s="74">
        <v>35</v>
      </c>
      <c r="Y31" s="71">
        <f t="shared" si="19"/>
        <v>599.6</v>
      </c>
      <c r="Z31" s="71"/>
      <c r="AA31" s="20">
        <f t="shared" si="20"/>
        <v>599.6</v>
      </c>
      <c r="AB31" s="21">
        <f t="shared" si="12"/>
        <v>1.3265486725663718</v>
      </c>
      <c r="AC31" s="3"/>
      <c r="AD31" s="3"/>
    </row>
    <row r="32" spans="1:30" x14ac:dyDescent="0.25">
      <c r="A32" s="1"/>
      <c r="B32" s="22" t="s">
        <v>58</v>
      </c>
      <c r="C32" s="41" t="s">
        <v>59</v>
      </c>
      <c r="D32" s="76">
        <v>192.6</v>
      </c>
      <c r="E32" s="74">
        <v>28119</v>
      </c>
      <c r="F32" s="74"/>
      <c r="G32" s="71">
        <f t="shared" si="13"/>
        <v>28311.599999999999</v>
      </c>
      <c r="H32" s="71"/>
      <c r="I32" s="20">
        <f t="shared" si="14"/>
        <v>28311.599999999999</v>
      </c>
      <c r="J32" s="77">
        <v>157.1</v>
      </c>
      <c r="K32" s="74">
        <v>28642</v>
      </c>
      <c r="L32" s="74"/>
      <c r="M32" s="71">
        <f t="shared" si="15"/>
        <v>28799.1</v>
      </c>
      <c r="N32" s="71"/>
      <c r="O32" s="20">
        <f t="shared" si="16"/>
        <v>28799.1</v>
      </c>
      <c r="P32" s="77">
        <v>57</v>
      </c>
      <c r="Q32" s="74">
        <v>13062.8</v>
      </c>
      <c r="R32" s="74"/>
      <c r="S32" s="71">
        <f t="shared" si="17"/>
        <v>13119.8</v>
      </c>
      <c r="T32" s="71"/>
      <c r="U32" s="20">
        <f t="shared" si="18"/>
        <v>13119.8</v>
      </c>
      <c r="V32" s="77">
        <v>157.1</v>
      </c>
      <c r="W32" s="74">
        <v>28642</v>
      </c>
      <c r="X32" s="74"/>
      <c r="Y32" s="71">
        <f t="shared" si="19"/>
        <v>28799.1</v>
      </c>
      <c r="Z32" s="71"/>
      <c r="AA32" s="20">
        <f t="shared" si="20"/>
        <v>28799.1</v>
      </c>
      <c r="AB32" s="21">
        <f t="shared" si="12"/>
        <v>1</v>
      </c>
      <c r="AC32" s="3"/>
      <c r="AD32" s="3"/>
    </row>
    <row r="33" spans="1:30" x14ac:dyDescent="0.25">
      <c r="A33" s="1"/>
      <c r="B33" s="22" t="s">
        <v>60</v>
      </c>
      <c r="C33" s="35" t="s">
        <v>61</v>
      </c>
      <c r="D33" s="76">
        <v>192.6</v>
      </c>
      <c r="E33" s="74">
        <v>27810</v>
      </c>
      <c r="F33" s="74"/>
      <c r="G33" s="71">
        <f t="shared" si="13"/>
        <v>28002.6</v>
      </c>
      <c r="H33" s="71"/>
      <c r="I33" s="20">
        <f t="shared" si="14"/>
        <v>28002.6</v>
      </c>
      <c r="J33" s="77">
        <v>134</v>
      </c>
      <c r="K33" s="74">
        <v>28233.200000000001</v>
      </c>
      <c r="L33" s="74"/>
      <c r="M33" s="71">
        <f t="shared" si="15"/>
        <v>28367.200000000001</v>
      </c>
      <c r="N33" s="71"/>
      <c r="O33" s="20">
        <f t="shared" si="16"/>
        <v>28367.200000000001</v>
      </c>
      <c r="P33" s="77">
        <v>0</v>
      </c>
      <c r="Q33" s="74">
        <v>12839.4</v>
      </c>
      <c r="R33" s="74"/>
      <c r="S33" s="71">
        <f t="shared" si="17"/>
        <v>12839.4</v>
      </c>
      <c r="T33" s="71"/>
      <c r="U33" s="20">
        <f t="shared" si="18"/>
        <v>12839.4</v>
      </c>
      <c r="V33" s="77">
        <v>134</v>
      </c>
      <c r="W33" s="74">
        <v>28233.200000000001</v>
      </c>
      <c r="X33" s="74"/>
      <c r="Y33" s="71">
        <f t="shared" si="19"/>
        <v>28367.200000000001</v>
      </c>
      <c r="Z33" s="71"/>
      <c r="AA33" s="20">
        <f t="shared" si="20"/>
        <v>28367.200000000001</v>
      </c>
      <c r="AB33" s="21">
        <f t="shared" si="12"/>
        <v>1</v>
      </c>
      <c r="AC33" s="3"/>
      <c r="AD33" s="3"/>
    </row>
    <row r="34" spans="1:30" x14ac:dyDescent="0.25">
      <c r="A34" s="1"/>
      <c r="B34" s="22" t="s">
        <v>62</v>
      </c>
      <c r="C34" s="78" t="s">
        <v>63</v>
      </c>
      <c r="D34" s="76"/>
      <c r="E34" s="74">
        <v>309</v>
      </c>
      <c r="F34" s="74"/>
      <c r="G34" s="71">
        <f t="shared" si="13"/>
        <v>309</v>
      </c>
      <c r="H34" s="71"/>
      <c r="I34" s="20">
        <f t="shared" si="14"/>
        <v>309</v>
      </c>
      <c r="J34" s="77">
        <v>23.1</v>
      </c>
      <c r="K34" s="74">
        <v>408.8</v>
      </c>
      <c r="L34" s="74"/>
      <c r="M34" s="71">
        <f>SUM(J34:L34)</f>
        <v>431.90000000000003</v>
      </c>
      <c r="N34" s="71"/>
      <c r="O34" s="20">
        <f t="shared" si="16"/>
        <v>431.90000000000003</v>
      </c>
      <c r="P34" s="77">
        <v>57</v>
      </c>
      <c r="Q34" s="74">
        <v>223.4</v>
      </c>
      <c r="R34" s="74"/>
      <c r="S34" s="71">
        <f t="shared" si="17"/>
        <v>280.39999999999998</v>
      </c>
      <c r="T34" s="71"/>
      <c r="U34" s="20">
        <f t="shared" si="18"/>
        <v>280.39999999999998</v>
      </c>
      <c r="V34" s="77">
        <v>23.1</v>
      </c>
      <c r="W34" s="74">
        <v>408.8</v>
      </c>
      <c r="X34" s="74"/>
      <c r="Y34" s="71">
        <f t="shared" si="19"/>
        <v>431.90000000000003</v>
      </c>
      <c r="Z34" s="71"/>
      <c r="AA34" s="20">
        <f t="shared" si="20"/>
        <v>431.90000000000003</v>
      </c>
      <c r="AB34" s="21">
        <f t="shared" si="12"/>
        <v>1</v>
      </c>
      <c r="AC34" s="3"/>
      <c r="AD34" s="3"/>
    </row>
    <row r="35" spans="1:30" x14ac:dyDescent="0.25">
      <c r="A35" s="1"/>
      <c r="B35" s="22" t="s">
        <v>64</v>
      </c>
      <c r="C35" s="41" t="s">
        <v>65</v>
      </c>
      <c r="D35" s="76">
        <v>65.099999999999994</v>
      </c>
      <c r="E35" s="74">
        <v>9348.2000000000007</v>
      </c>
      <c r="F35" s="74"/>
      <c r="G35" s="71">
        <f t="shared" si="13"/>
        <v>9413.3000000000011</v>
      </c>
      <c r="H35" s="71"/>
      <c r="I35" s="20">
        <f t="shared" si="14"/>
        <v>9413.3000000000011</v>
      </c>
      <c r="J35" s="77">
        <v>45.3</v>
      </c>
      <c r="K35" s="74">
        <v>9475.2000000000007</v>
      </c>
      <c r="L35" s="74"/>
      <c r="M35" s="71">
        <f t="shared" si="15"/>
        <v>9520.5</v>
      </c>
      <c r="N35" s="71"/>
      <c r="O35" s="20">
        <f t="shared" si="16"/>
        <v>9520.5</v>
      </c>
      <c r="P35" s="77">
        <v>0</v>
      </c>
      <c r="Q35" s="74">
        <v>4273</v>
      </c>
      <c r="R35" s="74"/>
      <c r="S35" s="71">
        <f t="shared" si="17"/>
        <v>4273</v>
      </c>
      <c r="T35" s="71"/>
      <c r="U35" s="20">
        <f t="shared" si="18"/>
        <v>4273</v>
      </c>
      <c r="V35" s="77">
        <v>45.3</v>
      </c>
      <c r="W35" s="74">
        <v>9475.2000000000007</v>
      </c>
      <c r="X35" s="74"/>
      <c r="Y35" s="71">
        <f t="shared" si="19"/>
        <v>9520.5</v>
      </c>
      <c r="Z35" s="71"/>
      <c r="AA35" s="20">
        <f t="shared" si="20"/>
        <v>9520.5</v>
      </c>
      <c r="AB35" s="21">
        <f t="shared" si="12"/>
        <v>1</v>
      </c>
      <c r="AC35" s="3"/>
      <c r="AD35" s="3"/>
    </row>
    <row r="36" spans="1:30" x14ac:dyDescent="0.25">
      <c r="A36" s="1"/>
      <c r="B36" s="22" t="s">
        <v>66</v>
      </c>
      <c r="C36" s="41" t="s">
        <v>67</v>
      </c>
      <c r="D36" s="74">
        <v>2.6</v>
      </c>
      <c r="E36" s="74"/>
      <c r="F36" s="74"/>
      <c r="G36" s="71">
        <f t="shared" si="13"/>
        <v>2.6</v>
      </c>
      <c r="H36" s="71"/>
      <c r="I36" s="20">
        <f t="shared" si="14"/>
        <v>2.6</v>
      </c>
      <c r="J36" s="75">
        <v>4</v>
      </c>
      <c r="K36" s="74"/>
      <c r="L36" s="74"/>
      <c r="M36" s="71">
        <f t="shared" si="15"/>
        <v>4</v>
      </c>
      <c r="N36" s="71"/>
      <c r="O36" s="20">
        <f t="shared" si="16"/>
        <v>4</v>
      </c>
      <c r="P36" s="75">
        <v>0</v>
      </c>
      <c r="Q36" s="74">
        <v>0</v>
      </c>
      <c r="R36" s="74"/>
      <c r="S36" s="71">
        <v>0</v>
      </c>
      <c r="T36" s="71"/>
      <c r="U36" s="20">
        <f t="shared" si="18"/>
        <v>0</v>
      </c>
      <c r="V36" s="75">
        <v>4</v>
      </c>
      <c r="W36" s="74"/>
      <c r="X36" s="74"/>
      <c r="Y36" s="71">
        <f t="shared" si="19"/>
        <v>4</v>
      </c>
      <c r="Z36" s="71"/>
      <c r="AA36" s="20">
        <f t="shared" si="20"/>
        <v>4</v>
      </c>
      <c r="AB36" s="21">
        <f t="shared" si="12"/>
        <v>1</v>
      </c>
      <c r="AC36" s="3"/>
      <c r="AD36" s="3"/>
    </row>
    <row r="37" spans="1:30" x14ac:dyDescent="0.25">
      <c r="A37" s="1"/>
      <c r="B37" s="22" t="s">
        <v>68</v>
      </c>
      <c r="C37" s="41" t="s">
        <v>69</v>
      </c>
      <c r="D37" s="74">
        <v>1830</v>
      </c>
      <c r="E37" s="74"/>
      <c r="F37" s="74"/>
      <c r="G37" s="71">
        <f t="shared" si="13"/>
        <v>1830</v>
      </c>
      <c r="H37" s="71"/>
      <c r="I37" s="20">
        <f t="shared" si="14"/>
        <v>1830</v>
      </c>
      <c r="J37" s="75">
        <v>1864</v>
      </c>
      <c r="K37" s="74"/>
      <c r="L37" s="74"/>
      <c r="M37" s="71">
        <f t="shared" si="15"/>
        <v>1864</v>
      </c>
      <c r="N37" s="71"/>
      <c r="O37" s="20">
        <f t="shared" si="16"/>
        <v>1864</v>
      </c>
      <c r="P37" s="75">
        <v>949.4</v>
      </c>
      <c r="Q37" s="74">
        <v>0</v>
      </c>
      <c r="R37" s="74"/>
      <c r="S37" s="71">
        <v>949.4</v>
      </c>
      <c r="T37" s="71"/>
      <c r="U37" s="20">
        <f t="shared" si="18"/>
        <v>949.4</v>
      </c>
      <c r="V37" s="75">
        <v>1864</v>
      </c>
      <c r="W37" s="74"/>
      <c r="X37" s="74"/>
      <c r="Y37" s="71">
        <f t="shared" si="19"/>
        <v>1864</v>
      </c>
      <c r="Z37" s="71"/>
      <c r="AA37" s="20">
        <f t="shared" si="20"/>
        <v>1864</v>
      </c>
      <c r="AB37" s="21">
        <f t="shared" si="12"/>
        <v>1</v>
      </c>
      <c r="AC37" s="3"/>
      <c r="AD37" s="3"/>
    </row>
    <row r="38" spans="1:30" ht="15.75" thickBot="1" x14ac:dyDescent="0.3">
      <c r="A38" s="1"/>
      <c r="B38" s="79" t="s">
        <v>70</v>
      </c>
      <c r="C38" s="80" t="s">
        <v>71</v>
      </c>
      <c r="D38" s="81">
        <v>453.5</v>
      </c>
      <c r="E38" s="81">
        <v>1791.3</v>
      </c>
      <c r="F38" s="81"/>
      <c r="G38" s="71">
        <f t="shared" si="13"/>
        <v>2244.8000000000002</v>
      </c>
      <c r="H38" s="82"/>
      <c r="I38" s="50">
        <f t="shared" si="14"/>
        <v>2244.8000000000002</v>
      </c>
      <c r="J38" s="83">
        <v>384.7</v>
      </c>
      <c r="K38" s="81">
        <v>1414.6</v>
      </c>
      <c r="L38" s="81"/>
      <c r="M38" s="82">
        <f t="shared" si="15"/>
        <v>1799.3</v>
      </c>
      <c r="N38" s="82">
        <v>20</v>
      </c>
      <c r="O38" s="50">
        <f t="shared" si="16"/>
        <v>1819.3</v>
      </c>
      <c r="P38" s="83">
        <v>278.3</v>
      </c>
      <c r="Q38" s="81">
        <v>434.1</v>
      </c>
      <c r="R38" s="81">
        <v>9.6</v>
      </c>
      <c r="S38" s="82">
        <v>722</v>
      </c>
      <c r="T38" s="82">
        <v>0</v>
      </c>
      <c r="U38" s="50">
        <f t="shared" si="18"/>
        <v>722</v>
      </c>
      <c r="V38" s="83">
        <v>477.6</v>
      </c>
      <c r="W38" s="81">
        <v>1414.6</v>
      </c>
      <c r="X38" s="81"/>
      <c r="Y38" s="82">
        <f t="shared" si="19"/>
        <v>1892.1999999999998</v>
      </c>
      <c r="Z38" s="82">
        <v>55</v>
      </c>
      <c r="AA38" s="50">
        <f t="shared" si="20"/>
        <v>1947.1999999999998</v>
      </c>
      <c r="AB38" s="51">
        <f t="shared" si="12"/>
        <v>1.0703017644148847</v>
      </c>
      <c r="AC38" s="3"/>
      <c r="AD38" s="3"/>
    </row>
    <row r="39" spans="1:30" ht="15.75" thickBot="1" x14ac:dyDescent="0.3">
      <c r="A39" s="1"/>
      <c r="B39" s="52" t="s">
        <v>72</v>
      </c>
      <c r="C39" s="84" t="s">
        <v>73</v>
      </c>
      <c r="D39" s="85">
        <f>SUM(D35:D38)+SUM(D28:D32)</f>
        <v>6166.4</v>
      </c>
      <c r="E39" s="85">
        <f>SUM(E35:E38)+SUM(E28:E32)</f>
        <v>39653.9</v>
      </c>
      <c r="F39" s="85">
        <f>SUM(F35:F38)+SUM(F28:F32)</f>
        <v>1917.7</v>
      </c>
      <c r="G39" s="86">
        <f>SUM(D39:F39)</f>
        <v>47738</v>
      </c>
      <c r="H39" s="87">
        <f>SUM(H28:H32)+SUM(H35:H38)</f>
        <v>14.5</v>
      </c>
      <c r="I39" s="88">
        <f>SUM(I35:I38)+SUM(I28:I32)</f>
        <v>47752.5</v>
      </c>
      <c r="J39" s="85">
        <f>SUM(J35:J38)+SUM(J28:J32)</f>
        <v>5383.1</v>
      </c>
      <c r="K39" s="85">
        <f>SUM(K35:K38)+SUM(K28:K32)</f>
        <v>40078</v>
      </c>
      <c r="L39" s="85">
        <f>SUM(L35:L38)+SUM(L28:L32)</f>
        <v>1132</v>
      </c>
      <c r="M39" s="86">
        <f>SUM(J39:L39)</f>
        <v>46593.1</v>
      </c>
      <c r="N39" s="87">
        <f>SUM(N28:N32)+SUM(N35:N38)</f>
        <v>50</v>
      </c>
      <c r="O39" s="88">
        <f>SUM(O35:O38)+SUM(O28:O32)</f>
        <v>46643.099999999991</v>
      </c>
      <c r="P39" s="85">
        <f>SUM(P35:P38)+SUM(P28:P32)</f>
        <v>3231.6000000000004</v>
      </c>
      <c r="Q39" s="85">
        <f>SUM(Q35:Q38)+SUM(Q28:Q32)</f>
        <v>18206.3</v>
      </c>
      <c r="R39" s="85">
        <f>SUM(R35:R38)+SUM(R28:R32)</f>
        <v>1293</v>
      </c>
      <c r="S39" s="86">
        <f>SUM(P39:R39)</f>
        <v>22730.9</v>
      </c>
      <c r="T39" s="87">
        <f>SUM(T28:T32)+SUM(T35:T38)</f>
        <v>17</v>
      </c>
      <c r="U39" s="88">
        <f>SUM(U35:U38)+SUM(U28:U32)</f>
        <v>22747.9</v>
      </c>
      <c r="V39" s="85">
        <f>SUM(V35:V38)+SUM(V28:V32)</f>
        <v>6410.6</v>
      </c>
      <c r="W39" s="85">
        <f>SUM(W35:W38)+SUM(W28:W32)</f>
        <v>40078</v>
      </c>
      <c r="X39" s="85">
        <f>SUM(X35:X38)+SUM(X28:X32)</f>
        <v>1000</v>
      </c>
      <c r="Y39" s="86">
        <f>SUM(V39:X39)</f>
        <v>47488.6</v>
      </c>
      <c r="Z39" s="87">
        <f>SUM(Z28:Z32)+SUM(Z35:Z38)</f>
        <v>100</v>
      </c>
      <c r="AA39" s="88">
        <f>SUM(AA35:AA38)+SUM(AA28:AA32)</f>
        <v>48188.600000000006</v>
      </c>
      <c r="AB39" s="89">
        <f t="shared" si="12"/>
        <v>1.0331345901108635</v>
      </c>
      <c r="AC39" s="3"/>
      <c r="AD39" s="3"/>
    </row>
    <row r="40" spans="1:30" ht="19.5" thickBot="1" x14ac:dyDescent="0.35">
      <c r="A40" s="1"/>
      <c r="B40" s="90" t="s">
        <v>74</v>
      </c>
      <c r="C40" s="91" t="s">
        <v>75</v>
      </c>
      <c r="D40" s="92">
        <f t="shared" ref="D40:AA40" si="21">D24-D39</f>
        <v>-37.499999999999091</v>
      </c>
      <c r="E40" s="92">
        <f t="shared" si="21"/>
        <v>41.5</v>
      </c>
      <c r="F40" s="92">
        <f t="shared" si="21"/>
        <v>0</v>
      </c>
      <c r="G40" s="93">
        <f t="shared" si="21"/>
        <v>4</v>
      </c>
      <c r="H40" s="93">
        <f t="shared" si="21"/>
        <v>96</v>
      </c>
      <c r="I40" s="94">
        <f t="shared" si="21"/>
        <v>100</v>
      </c>
      <c r="J40" s="92">
        <f t="shared" si="21"/>
        <v>1356</v>
      </c>
      <c r="K40" s="92">
        <f t="shared" si="21"/>
        <v>0</v>
      </c>
      <c r="L40" s="92">
        <f t="shared" si="21"/>
        <v>0</v>
      </c>
      <c r="M40" s="93">
        <f t="shared" si="21"/>
        <v>1356</v>
      </c>
      <c r="N40" s="93">
        <f t="shared" si="21"/>
        <v>50</v>
      </c>
      <c r="O40" s="94">
        <f t="shared" si="21"/>
        <v>1406.0000000000073</v>
      </c>
      <c r="P40" s="92">
        <f t="shared" si="21"/>
        <v>-417.60000000000036</v>
      </c>
      <c r="Q40" s="92">
        <f t="shared" si="21"/>
        <v>4033.7000000000007</v>
      </c>
      <c r="R40" s="92">
        <f t="shared" si="21"/>
        <v>264.29999999999995</v>
      </c>
      <c r="S40" s="93">
        <f t="shared" si="21"/>
        <v>3880.3999999999978</v>
      </c>
      <c r="T40" s="93">
        <f t="shared" si="21"/>
        <v>81.900000000000006</v>
      </c>
      <c r="U40" s="94">
        <f t="shared" si="21"/>
        <v>3962.2999999999993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-600.00000000000728</v>
      </c>
      <c r="AB40" s="95">
        <f t="shared" si="12"/>
        <v>-0.42674253200569284</v>
      </c>
      <c r="AC40" s="3"/>
      <c r="AD40" s="3"/>
    </row>
    <row r="41" spans="1:30" ht="15.75" thickBot="1" x14ac:dyDescent="0.3">
      <c r="A41" s="1"/>
      <c r="B41" s="96" t="s">
        <v>76</v>
      </c>
      <c r="C41" s="97" t="s">
        <v>77</v>
      </c>
      <c r="D41" s="98"/>
      <c r="E41" s="99"/>
      <c r="F41" s="99"/>
      <c r="G41" s="100"/>
      <c r="H41" s="101"/>
      <c r="I41" s="102">
        <f>I40-D16</f>
        <v>-4516.8</v>
      </c>
      <c r="J41" s="98"/>
      <c r="K41" s="99"/>
      <c r="L41" s="99"/>
      <c r="M41" s="100"/>
      <c r="N41" s="103"/>
      <c r="O41" s="102">
        <f>O40-J16</f>
        <v>-3646.9999999999927</v>
      </c>
      <c r="P41" s="98"/>
      <c r="Q41" s="99"/>
      <c r="R41" s="99"/>
      <c r="S41" s="100"/>
      <c r="T41" s="103"/>
      <c r="U41" s="102">
        <f>U40-P16</f>
        <v>1242.2999999999993</v>
      </c>
      <c r="V41" s="98"/>
      <c r="W41" s="99"/>
      <c r="X41" s="99"/>
      <c r="Y41" s="100"/>
      <c r="Z41" s="103"/>
      <c r="AA41" s="102">
        <f>AA40-V16</f>
        <v>-6709.0000000000073</v>
      </c>
      <c r="AB41" s="21">
        <f t="shared" si="12"/>
        <v>1.8395941870030219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928" t="s">
        <v>78</v>
      </c>
      <c r="D43" s="112" t="s">
        <v>79</v>
      </c>
      <c r="E43" s="113" t="s">
        <v>80</v>
      </c>
      <c r="F43" s="114" t="s">
        <v>81</v>
      </c>
      <c r="G43" s="108"/>
      <c r="H43" s="108"/>
      <c r="I43" s="115"/>
      <c r="J43" s="112" t="s">
        <v>79</v>
      </c>
      <c r="K43" s="113" t="s">
        <v>80</v>
      </c>
      <c r="L43" s="114" t="s">
        <v>81</v>
      </c>
      <c r="M43" s="108"/>
      <c r="N43" s="108"/>
      <c r="O43" s="108"/>
      <c r="P43" s="112" t="s">
        <v>79</v>
      </c>
      <c r="Q43" s="113" t="s">
        <v>80</v>
      </c>
      <c r="R43" s="114" t="s">
        <v>81</v>
      </c>
      <c r="S43" s="109"/>
      <c r="T43" s="109"/>
      <c r="U43" s="109"/>
      <c r="V43" s="112" t="s">
        <v>79</v>
      </c>
      <c r="W43" s="113" t="s">
        <v>80</v>
      </c>
      <c r="X43" s="114" t="s">
        <v>81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929"/>
      <c r="D44" s="116">
        <v>415.6</v>
      </c>
      <c r="E44" s="117">
        <v>415.6</v>
      </c>
      <c r="F44" s="118">
        <v>0</v>
      </c>
      <c r="G44" s="108"/>
      <c r="H44" s="108"/>
      <c r="I44" s="115"/>
      <c r="J44" s="116">
        <v>427.9</v>
      </c>
      <c r="K44" s="117">
        <v>427.9</v>
      </c>
      <c r="L44" s="118">
        <v>0</v>
      </c>
      <c r="M44" s="119"/>
      <c r="N44" s="119"/>
      <c r="O44" s="119"/>
      <c r="P44" s="116">
        <v>213.3</v>
      </c>
      <c r="Q44" s="117">
        <v>213.3</v>
      </c>
      <c r="R44" s="118">
        <v>0</v>
      </c>
      <c r="S44" s="3"/>
      <c r="T44" s="3"/>
      <c r="U44" s="3"/>
      <c r="V44" s="116">
        <v>427.9</v>
      </c>
      <c r="W44" s="117">
        <v>427.9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928" t="s">
        <v>82</v>
      </c>
      <c r="D46" s="120" t="s">
        <v>83</v>
      </c>
      <c r="E46" s="121" t="s">
        <v>84</v>
      </c>
      <c r="F46" s="108"/>
      <c r="G46" s="108"/>
      <c r="H46" s="108"/>
      <c r="I46" s="115"/>
      <c r="J46" s="120" t="s">
        <v>83</v>
      </c>
      <c r="K46" s="121" t="s">
        <v>84</v>
      </c>
      <c r="L46" s="122"/>
      <c r="M46" s="122"/>
      <c r="N46" s="109"/>
      <c r="O46" s="109"/>
      <c r="P46" s="120" t="s">
        <v>83</v>
      </c>
      <c r="Q46" s="121" t="s">
        <v>84</v>
      </c>
      <c r="R46" s="109"/>
      <c r="S46" s="109"/>
      <c r="T46" s="109"/>
      <c r="U46" s="109"/>
      <c r="V46" s="120" t="s">
        <v>83</v>
      </c>
      <c r="W46" s="121" t="s">
        <v>84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930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2814</v>
      </c>
      <c r="Q47" s="124">
        <v>22240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85</v>
      </c>
      <c r="D49" s="127" t="s">
        <v>86</v>
      </c>
      <c r="E49" s="127" t="s">
        <v>87</v>
      </c>
      <c r="F49" s="127" t="s">
        <v>88</v>
      </c>
      <c r="G49" s="127" t="s">
        <v>89</v>
      </c>
      <c r="H49" s="108"/>
      <c r="I49" s="3"/>
      <c r="J49" s="127" t="s">
        <v>86</v>
      </c>
      <c r="K49" s="127" t="s">
        <v>87</v>
      </c>
      <c r="L49" s="127" t="s">
        <v>88</v>
      </c>
      <c r="M49" s="127" t="s">
        <v>90</v>
      </c>
      <c r="N49" s="3"/>
      <c r="O49" s="3"/>
      <c r="P49" s="127" t="s">
        <v>86</v>
      </c>
      <c r="Q49" s="127" t="s">
        <v>87</v>
      </c>
      <c r="R49" s="127" t="s">
        <v>88</v>
      </c>
      <c r="S49" s="127" t="s">
        <v>90</v>
      </c>
      <c r="T49" s="3"/>
      <c r="U49" s="3"/>
      <c r="V49" s="127" t="s">
        <v>92</v>
      </c>
      <c r="W49" s="127" t="s">
        <v>87</v>
      </c>
      <c r="X49" s="127" t="s">
        <v>88</v>
      </c>
      <c r="Y49" s="127" t="s">
        <v>90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>
        <f>SUM(D51:D54)</f>
        <v>3655.6</v>
      </c>
      <c r="E50" s="129">
        <f t="shared" ref="E50:F50" si="22">SUM(E51:E54)</f>
        <v>2350.3000000000002</v>
      </c>
      <c r="F50" s="129">
        <f t="shared" si="22"/>
        <v>2109.1999999999998</v>
      </c>
      <c r="G50" s="130">
        <f>D50+E50-F50</f>
        <v>3896.7</v>
      </c>
      <c r="H50" s="108"/>
      <c r="I50" s="3"/>
      <c r="J50" s="129">
        <v>2758.5</v>
      </c>
      <c r="K50" s="129">
        <v>1344</v>
      </c>
      <c r="L50" s="129">
        <v>1014</v>
      </c>
      <c r="M50" s="130">
        <f>J50+K50-L50</f>
        <v>3088.5</v>
      </c>
      <c r="N50" s="3"/>
      <c r="O50" s="3"/>
      <c r="P50" s="129">
        <f>SUM(P51:P54)</f>
        <v>3896.6</v>
      </c>
      <c r="Q50" s="129">
        <f>SUM(Q51:Q54)</f>
        <v>-341.2</v>
      </c>
      <c r="R50" s="129">
        <f t="shared" ref="R50" si="23">SUM(R51:R54)</f>
        <v>564.1</v>
      </c>
      <c r="S50" s="130">
        <f>P50+Q50-R50</f>
        <v>2991.3</v>
      </c>
      <c r="T50" s="3"/>
      <c r="U50" s="3"/>
      <c r="V50" s="129">
        <f>SUM(V51:V54)</f>
        <v>3084</v>
      </c>
      <c r="W50" s="129">
        <f t="shared" ref="W50:X50" si="24">SUM(W51:W54)</f>
        <v>1536</v>
      </c>
      <c r="X50" s="129">
        <f t="shared" si="24"/>
        <v>1072.9000000000001</v>
      </c>
      <c r="Y50" s="130">
        <f>V50+W50-X50</f>
        <v>3547.1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1776.1</v>
      </c>
      <c r="E51" s="129">
        <v>1220.4000000000001</v>
      </c>
      <c r="F51" s="129">
        <v>1308.0999999999999</v>
      </c>
      <c r="G51" s="130">
        <f t="shared" ref="G51:G54" si="25">D51+E51-F51</f>
        <v>1688.4</v>
      </c>
      <c r="H51" s="108"/>
      <c r="I51" s="3"/>
      <c r="J51" s="129">
        <v>543.79999999999995</v>
      </c>
      <c r="K51" s="129">
        <v>40</v>
      </c>
      <c r="L51" s="129">
        <v>0</v>
      </c>
      <c r="M51" s="130">
        <f t="shared" ref="M51:M54" si="26">J51+K51-L51</f>
        <v>583.79999999999995</v>
      </c>
      <c r="N51" s="3"/>
      <c r="O51" s="3"/>
      <c r="P51" s="129">
        <v>1688.4</v>
      </c>
      <c r="Q51" s="129">
        <v>-988.4</v>
      </c>
      <c r="R51" s="129">
        <v>65</v>
      </c>
      <c r="S51" s="130">
        <f t="shared" ref="S51:S54" si="27">P51+Q51-R51</f>
        <v>635.00000000000011</v>
      </c>
      <c r="T51" s="3"/>
      <c r="U51" s="3"/>
      <c r="V51" s="129">
        <v>583.79999999999995</v>
      </c>
      <c r="W51" s="129">
        <f>80+70</f>
        <v>150</v>
      </c>
      <c r="X51" s="129">
        <v>65</v>
      </c>
      <c r="Y51" s="130">
        <f t="shared" ref="Y51:Y54" si="28">V51+W51-X51</f>
        <v>668.8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1269.5</v>
      </c>
      <c r="E52" s="129">
        <v>563</v>
      </c>
      <c r="F52" s="129">
        <v>415.6</v>
      </c>
      <c r="G52" s="130">
        <f t="shared" si="25"/>
        <v>1416.9</v>
      </c>
      <c r="H52" s="108"/>
      <c r="I52" s="3"/>
      <c r="J52" s="129">
        <v>1449.7</v>
      </c>
      <c r="K52" s="129">
        <v>774</v>
      </c>
      <c r="L52" s="129">
        <v>414</v>
      </c>
      <c r="M52" s="130">
        <f t="shared" si="26"/>
        <v>1809.6999999999998</v>
      </c>
      <c r="N52" s="3"/>
      <c r="O52" s="3"/>
      <c r="P52" s="129">
        <v>1416.8</v>
      </c>
      <c r="Q52" s="129">
        <v>398.4</v>
      </c>
      <c r="R52" s="129">
        <v>213.3</v>
      </c>
      <c r="S52" s="130">
        <f t="shared" si="27"/>
        <v>1601.8999999999999</v>
      </c>
      <c r="T52" s="3"/>
      <c r="U52" s="3"/>
      <c r="V52" s="129">
        <v>1795.2</v>
      </c>
      <c r="W52" s="129">
        <v>776</v>
      </c>
      <c r="X52" s="129">
        <v>427.9</v>
      </c>
      <c r="Y52" s="130">
        <f t="shared" si="28"/>
        <v>2143.2999999999997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270</v>
      </c>
      <c r="E53" s="129">
        <v>9.9</v>
      </c>
      <c r="F53" s="129">
        <v>0</v>
      </c>
      <c r="G53" s="130">
        <f t="shared" si="25"/>
        <v>279.89999999999998</v>
      </c>
      <c r="H53" s="108"/>
      <c r="I53" s="3"/>
      <c r="J53" s="129">
        <v>279.89999999999998</v>
      </c>
      <c r="K53" s="129">
        <v>10</v>
      </c>
      <c r="L53" s="129">
        <v>0</v>
      </c>
      <c r="M53" s="130">
        <f t="shared" si="26"/>
        <v>289.89999999999998</v>
      </c>
      <c r="N53" s="3"/>
      <c r="O53" s="3"/>
      <c r="P53" s="129">
        <v>279.89999999999998</v>
      </c>
      <c r="Q53" s="630">
        <v>20</v>
      </c>
      <c r="R53" s="129">
        <v>0</v>
      </c>
      <c r="S53" s="130">
        <f t="shared" si="27"/>
        <v>299.89999999999998</v>
      </c>
      <c r="T53" s="3"/>
      <c r="U53" s="3"/>
      <c r="V53" s="129">
        <v>299.89999999999998</v>
      </c>
      <c r="W53" s="129">
        <v>20</v>
      </c>
      <c r="X53" s="129">
        <v>0</v>
      </c>
      <c r="Y53" s="130">
        <f t="shared" si="28"/>
        <v>319.89999999999998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3" t="s">
        <v>97</v>
      </c>
      <c r="D54" s="129">
        <v>340</v>
      </c>
      <c r="E54" s="129">
        <v>557</v>
      </c>
      <c r="F54" s="129">
        <v>385.5</v>
      </c>
      <c r="G54" s="130">
        <f t="shared" si="25"/>
        <v>511.5</v>
      </c>
      <c r="H54" s="108"/>
      <c r="I54" s="3"/>
      <c r="J54" s="129">
        <v>485.1</v>
      </c>
      <c r="K54" s="129">
        <v>520</v>
      </c>
      <c r="L54" s="129">
        <v>600</v>
      </c>
      <c r="M54" s="130">
        <f t="shared" si="26"/>
        <v>405.1</v>
      </c>
      <c r="N54" s="3"/>
      <c r="O54" s="3"/>
      <c r="P54" s="129">
        <v>511.5</v>
      </c>
      <c r="Q54" s="129">
        <v>228.8</v>
      </c>
      <c r="R54" s="129">
        <v>285.8</v>
      </c>
      <c r="S54" s="130">
        <f t="shared" si="27"/>
        <v>454.49999999999994</v>
      </c>
      <c r="T54" s="3"/>
      <c r="U54" s="3"/>
      <c r="V54" s="129">
        <v>405.1</v>
      </c>
      <c r="W54" s="129">
        <v>590</v>
      </c>
      <c r="X54" s="129">
        <v>580</v>
      </c>
      <c r="Y54" s="130">
        <f t="shared" si="28"/>
        <v>415.1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4">
        <v>54.6</v>
      </c>
      <c r="E57" s="134">
        <v>55.6</v>
      </c>
      <c r="F57" s="108"/>
      <c r="G57" s="108"/>
      <c r="H57" s="108"/>
      <c r="I57" s="115"/>
      <c r="J57" s="134">
        <v>55</v>
      </c>
      <c r="K57" s="108"/>
      <c r="L57" s="108"/>
      <c r="M57" s="108"/>
      <c r="N57" s="108"/>
      <c r="O57" s="115"/>
      <c r="P57" s="134">
        <v>56.8</v>
      </c>
      <c r="Q57" s="115"/>
      <c r="R57" s="115"/>
      <c r="S57" s="115"/>
      <c r="T57" s="115"/>
      <c r="U57" s="115"/>
      <c r="V57" s="134">
        <v>56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5" t="s">
        <v>103</v>
      </c>
      <c r="C59" s="136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  <c r="O59" s="931"/>
      <c r="P59" s="931"/>
      <c r="Q59" s="931"/>
      <c r="R59" s="931"/>
      <c r="S59" s="931"/>
      <c r="T59" s="931"/>
      <c r="U59" s="931"/>
      <c r="V59" s="137"/>
      <c r="W59" s="137"/>
      <c r="X59" s="137"/>
      <c r="Y59" s="137"/>
      <c r="Z59" s="137"/>
      <c r="AA59" s="137"/>
      <c r="AB59" s="138"/>
      <c r="AC59" s="3"/>
      <c r="AD59" s="3"/>
    </row>
    <row r="60" spans="1:30" x14ac:dyDescent="0.25">
      <c r="A60" s="1"/>
      <c r="B60" s="13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0"/>
      <c r="AC60" s="3"/>
      <c r="AD60" s="3"/>
    </row>
    <row r="61" spans="1:30" x14ac:dyDescent="0.25">
      <c r="A61" s="1"/>
      <c r="B61" s="925"/>
      <c r="C61" s="921"/>
      <c r="D61" s="921"/>
      <c r="E61" s="921"/>
      <c r="F61" s="921"/>
      <c r="G61" s="921"/>
      <c r="H61" s="921"/>
      <c r="I61" s="921"/>
      <c r="J61" s="921"/>
      <c r="K61" s="921"/>
      <c r="L61" s="921"/>
      <c r="M61" s="921"/>
      <c r="N61" s="921"/>
      <c r="O61" s="921"/>
      <c r="P61" s="921"/>
      <c r="Q61" s="921"/>
      <c r="R61" s="921"/>
      <c r="S61" s="921"/>
      <c r="T61" s="921"/>
      <c r="U61" s="921"/>
      <c r="V61" s="110"/>
      <c r="W61" s="110"/>
      <c r="X61" s="110"/>
      <c r="Y61" s="110"/>
      <c r="Z61" s="110"/>
      <c r="AA61" s="110"/>
      <c r="AB61" s="140"/>
      <c r="AC61" s="3"/>
      <c r="AD61" s="3"/>
    </row>
    <row r="62" spans="1:30" x14ac:dyDescent="0.25">
      <c r="A62" s="1"/>
      <c r="B62" s="925"/>
      <c r="C62" s="921"/>
      <c r="D62" s="921"/>
      <c r="E62" s="921"/>
      <c r="F62" s="921"/>
      <c r="G62" s="921"/>
      <c r="H62" s="921"/>
      <c r="I62" s="921"/>
      <c r="J62" s="921"/>
      <c r="K62" s="921"/>
      <c r="L62" s="921"/>
      <c r="M62" s="921"/>
      <c r="N62" s="921"/>
      <c r="O62" s="921"/>
      <c r="P62" s="921"/>
      <c r="Q62" s="921"/>
      <c r="R62" s="921"/>
      <c r="S62" s="921"/>
      <c r="T62" s="921"/>
      <c r="U62" s="921"/>
      <c r="V62" s="110"/>
      <c r="W62" s="110"/>
      <c r="X62" s="110"/>
      <c r="Y62" s="110"/>
      <c r="Z62" s="110"/>
      <c r="AA62" s="110"/>
      <c r="AB62" s="140"/>
      <c r="AC62" s="3"/>
      <c r="AD62" s="3"/>
    </row>
    <row r="63" spans="1:30" x14ac:dyDescent="0.25">
      <c r="A63" s="1"/>
      <c r="B63" s="925"/>
      <c r="C63" s="921"/>
      <c r="D63" s="921"/>
      <c r="E63" s="921"/>
      <c r="F63" s="921"/>
      <c r="G63" s="921"/>
      <c r="H63" s="921"/>
      <c r="I63" s="921"/>
      <c r="J63" s="921"/>
      <c r="K63" s="921"/>
      <c r="L63" s="921"/>
      <c r="M63" s="921"/>
      <c r="N63" s="921"/>
      <c r="O63" s="921"/>
      <c r="P63" s="921"/>
      <c r="Q63" s="921"/>
      <c r="R63" s="921"/>
      <c r="S63" s="921"/>
      <c r="T63" s="921"/>
      <c r="U63" s="921"/>
      <c r="V63" s="110"/>
      <c r="W63" s="110"/>
      <c r="X63" s="110"/>
      <c r="Y63" s="110"/>
      <c r="Z63" s="110"/>
      <c r="AA63" s="110"/>
      <c r="AB63" s="140"/>
      <c r="AC63" s="3"/>
      <c r="AD63" s="3"/>
    </row>
    <row r="64" spans="1:30" x14ac:dyDescent="0.25">
      <c r="A64" s="1"/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10"/>
      <c r="W64" s="110"/>
      <c r="X64" s="110"/>
      <c r="Y64" s="110"/>
      <c r="Z64" s="110"/>
      <c r="AA64" s="110"/>
      <c r="AB64" s="140"/>
      <c r="AC64" s="3"/>
      <c r="AD64" s="3"/>
    </row>
    <row r="65" spans="1:30" x14ac:dyDescent="0.25">
      <c r="A65" s="1"/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10"/>
      <c r="W65" s="110"/>
      <c r="X65" s="110"/>
      <c r="Y65" s="110"/>
      <c r="Z65" s="110"/>
      <c r="AA65" s="110"/>
      <c r="AB65" s="140"/>
      <c r="AC65" s="3"/>
      <c r="AD65" s="3"/>
    </row>
    <row r="66" spans="1:30" x14ac:dyDescent="0.25">
      <c r="A66" s="1"/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10"/>
      <c r="W66" s="110"/>
      <c r="X66" s="110"/>
      <c r="Y66" s="110"/>
      <c r="Z66" s="110"/>
      <c r="AA66" s="110"/>
      <c r="AB66" s="140"/>
      <c r="AC66" s="3"/>
      <c r="AD66" s="3"/>
    </row>
    <row r="67" spans="1:30" x14ac:dyDescent="0.25">
      <c r="A67" s="1"/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10"/>
      <c r="W67" s="110"/>
      <c r="X67" s="110"/>
      <c r="Y67" s="110"/>
      <c r="Z67" s="110"/>
      <c r="AA67" s="110"/>
      <c r="AB67" s="140"/>
      <c r="AC67" s="3"/>
      <c r="AD67" s="3"/>
    </row>
    <row r="68" spans="1:30" x14ac:dyDescent="0.25">
      <c r="A68" s="1"/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10"/>
      <c r="W68" s="110"/>
      <c r="X68" s="110"/>
      <c r="Y68" s="110"/>
      <c r="Z68" s="110"/>
      <c r="AA68" s="110"/>
      <c r="AB68" s="140"/>
      <c r="AC68" s="3"/>
      <c r="AD68" s="3"/>
    </row>
    <row r="69" spans="1:30" x14ac:dyDescent="0.25">
      <c r="A69" s="1"/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10"/>
      <c r="W69" s="110"/>
      <c r="X69" s="110"/>
      <c r="Y69" s="110"/>
      <c r="Z69" s="110"/>
      <c r="AA69" s="110"/>
      <c r="AB69" s="140"/>
      <c r="AC69" s="3"/>
      <c r="AD69" s="3"/>
    </row>
    <row r="70" spans="1:30" x14ac:dyDescent="0.25">
      <c r="A70" s="1"/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10"/>
      <c r="W70" s="110"/>
      <c r="X70" s="110"/>
      <c r="Y70" s="110"/>
      <c r="Z70" s="110"/>
      <c r="AA70" s="110"/>
      <c r="AB70" s="140"/>
      <c r="AC70" s="3"/>
      <c r="AD70" s="3"/>
    </row>
    <row r="71" spans="1:30" x14ac:dyDescent="0.25">
      <c r="A71" s="1"/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10"/>
      <c r="W71" s="110"/>
      <c r="X71" s="110"/>
      <c r="Y71" s="110"/>
      <c r="Z71" s="110"/>
      <c r="AA71" s="110"/>
      <c r="AB71" s="140"/>
      <c r="AC71" s="3"/>
      <c r="AD71" s="3"/>
    </row>
    <row r="72" spans="1:30" x14ac:dyDescent="0.25">
      <c r="A72" s="1"/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10"/>
      <c r="W72" s="110"/>
      <c r="X72" s="110"/>
      <c r="Y72" s="110"/>
      <c r="Z72" s="110"/>
      <c r="AA72" s="110"/>
      <c r="AB72" s="140"/>
      <c r="AC72" s="3"/>
      <c r="AD72" s="3"/>
    </row>
    <row r="73" spans="1:30" x14ac:dyDescent="0.25">
      <c r="A73" s="1"/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10"/>
      <c r="W73" s="110"/>
      <c r="X73" s="110"/>
      <c r="Y73" s="110"/>
      <c r="Z73" s="110"/>
      <c r="AA73" s="110"/>
      <c r="AB73" s="140"/>
      <c r="AC73" s="3"/>
      <c r="AD73" s="3"/>
    </row>
    <row r="74" spans="1:30" x14ac:dyDescent="0.25">
      <c r="A74" s="1"/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10"/>
      <c r="W74" s="110"/>
      <c r="X74" s="110"/>
      <c r="Y74" s="110"/>
      <c r="Z74" s="110"/>
      <c r="AA74" s="110"/>
      <c r="AB74" s="140"/>
      <c r="AC74" s="3"/>
      <c r="AD74" s="3"/>
    </row>
    <row r="75" spans="1:30" x14ac:dyDescent="0.25">
      <c r="A75" s="1"/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10"/>
      <c r="W75" s="110"/>
      <c r="X75" s="110"/>
      <c r="Y75" s="110"/>
      <c r="Z75" s="110"/>
      <c r="AA75" s="110"/>
      <c r="AB75" s="140"/>
      <c r="AC75" s="3"/>
      <c r="AD75" s="3"/>
    </row>
    <row r="76" spans="1:30" x14ac:dyDescent="0.25">
      <c r="A76" s="1"/>
      <c r="B76" s="14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10"/>
      <c r="W76" s="110"/>
      <c r="X76" s="110"/>
      <c r="Y76" s="110"/>
      <c r="Z76" s="110"/>
      <c r="AA76" s="110"/>
      <c r="AB76" s="140"/>
      <c r="AC76" s="3"/>
      <c r="AD76" s="3"/>
    </row>
    <row r="77" spans="1:30" x14ac:dyDescent="0.25">
      <c r="A77" s="1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10"/>
      <c r="W77" s="110"/>
      <c r="X77" s="110"/>
      <c r="Y77" s="110"/>
      <c r="Z77" s="110"/>
      <c r="AA77" s="110"/>
      <c r="AB77" s="140"/>
      <c r="AC77" s="3"/>
      <c r="AD77" s="3"/>
    </row>
    <row r="78" spans="1:30" x14ac:dyDescent="0.25">
      <c r="A78" s="1"/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10"/>
      <c r="W78" s="110"/>
      <c r="X78" s="110"/>
      <c r="Y78" s="110"/>
      <c r="Z78" s="110"/>
      <c r="AA78" s="110"/>
      <c r="AB78" s="140"/>
      <c r="AC78" s="3"/>
      <c r="AD78" s="3"/>
    </row>
    <row r="79" spans="1:30" x14ac:dyDescent="0.25">
      <c r="A79" s="1"/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10"/>
      <c r="W79" s="110"/>
      <c r="X79" s="110"/>
      <c r="Y79" s="110"/>
      <c r="Z79" s="110"/>
      <c r="AA79" s="110"/>
      <c r="AB79" s="140"/>
      <c r="AC79" s="3"/>
      <c r="AD79" s="3"/>
    </row>
    <row r="80" spans="1:30" x14ac:dyDescent="0.25">
      <c r="A80" s="1"/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10"/>
      <c r="W80" s="110"/>
      <c r="X80" s="110"/>
      <c r="Y80" s="110"/>
      <c r="Z80" s="110"/>
      <c r="AA80" s="110"/>
      <c r="AB80" s="140"/>
      <c r="AC80" s="3"/>
      <c r="AD80" s="3"/>
    </row>
    <row r="81" spans="1:30" x14ac:dyDescent="0.25">
      <c r="A81" s="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10"/>
      <c r="W81" s="110"/>
      <c r="X81" s="110"/>
      <c r="Y81" s="110"/>
      <c r="Z81" s="110"/>
      <c r="AA81" s="110"/>
      <c r="AB81" s="140"/>
      <c r="AC81" s="3"/>
      <c r="AD81" s="3"/>
    </row>
    <row r="82" spans="1:30" x14ac:dyDescent="0.25">
      <c r="A82" s="1"/>
      <c r="B82" s="925"/>
      <c r="C82" s="921"/>
      <c r="D82" s="921"/>
      <c r="E82" s="921"/>
      <c r="F82" s="921"/>
      <c r="G82" s="921"/>
      <c r="H82" s="921"/>
      <c r="I82" s="921"/>
      <c r="J82" s="921"/>
      <c r="K82" s="921"/>
      <c r="L82" s="921"/>
      <c r="M82" s="921"/>
      <c r="N82" s="921"/>
      <c r="O82" s="921"/>
      <c r="P82" s="921"/>
      <c r="Q82" s="921"/>
      <c r="R82" s="921"/>
      <c r="S82" s="921"/>
      <c r="T82" s="921"/>
      <c r="U82" s="921"/>
      <c r="V82" s="110"/>
      <c r="W82" s="110"/>
      <c r="X82" s="110"/>
      <c r="Y82" s="110"/>
      <c r="Z82" s="110"/>
      <c r="AA82" s="110"/>
      <c r="AB82" s="140"/>
      <c r="AC82" s="3"/>
      <c r="AD82" s="3"/>
    </row>
    <row r="83" spans="1:30" x14ac:dyDescent="0.25">
      <c r="A83" s="1"/>
      <c r="B83" s="143"/>
      <c r="C83" s="162"/>
      <c r="D83" s="162"/>
      <c r="E83" s="16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10"/>
      <c r="W83" s="110"/>
      <c r="X83" s="110"/>
      <c r="Y83" s="110"/>
      <c r="Z83" s="110"/>
      <c r="AA83" s="110"/>
      <c r="AB83" s="140"/>
      <c r="AC83" s="3"/>
      <c r="AD83" s="3"/>
    </row>
    <row r="84" spans="1:30" x14ac:dyDescent="0.25">
      <c r="A84" s="1"/>
      <c r="B84" s="161"/>
      <c r="C84" s="160"/>
      <c r="D84" s="145"/>
      <c r="E84" s="145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10"/>
      <c r="W84" s="110"/>
      <c r="X84" s="110"/>
      <c r="Y84" s="110"/>
      <c r="Z84" s="110"/>
      <c r="AA84" s="110"/>
      <c r="AB84" s="140"/>
      <c r="AC84" s="3"/>
      <c r="AD84" s="3"/>
    </row>
    <row r="85" spans="1:30" x14ac:dyDescent="0.25">
      <c r="A85" s="1"/>
      <c r="B85" s="143"/>
      <c r="C85" s="144"/>
      <c r="D85" s="145"/>
      <c r="E85" s="145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10"/>
      <c r="W85" s="110"/>
      <c r="X85" s="110"/>
      <c r="Y85" s="110"/>
      <c r="Z85" s="110"/>
      <c r="AA85" s="110"/>
      <c r="AB85" s="140"/>
      <c r="AC85" s="3"/>
      <c r="AD85" s="3"/>
    </row>
    <row r="86" spans="1:30" x14ac:dyDescent="0.25">
      <c r="A86" s="1"/>
      <c r="B86" s="143"/>
      <c r="C86" s="144"/>
      <c r="D86" s="145"/>
      <c r="E86" s="145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10"/>
      <c r="W86" s="110"/>
      <c r="X86" s="110"/>
      <c r="Y86" s="110"/>
      <c r="Z86" s="110"/>
      <c r="AA86" s="110"/>
      <c r="AB86" s="140"/>
      <c r="AC86" s="3"/>
      <c r="AD86" s="3"/>
    </row>
    <row r="87" spans="1:30" x14ac:dyDescent="0.25">
      <c r="A87" s="1"/>
      <c r="B87" s="146"/>
      <c r="C87" s="147"/>
      <c r="D87" s="148"/>
      <c r="E87" s="148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50"/>
      <c r="W87" s="150"/>
      <c r="X87" s="150"/>
      <c r="Y87" s="150"/>
      <c r="Z87" s="150"/>
      <c r="AA87" s="150"/>
      <c r="AB87" s="151"/>
      <c r="AC87" s="3"/>
      <c r="AD87" s="3"/>
    </row>
    <row r="88" spans="1:30" x14ac:dyDescent="0.25">
      <c r="A88" s="104"/>
      <c r="B88" s="152"/>
      <c r="C88" s="153"/>
      <c r="D88" s="152"/>
      <c r="E88" s="152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2"/>
      <c r="C89" s="153"/>
      <c r="D89" s="152"/>
      <c r="E89" s="152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5" t="s">
        <v>109</v>
      </c>
      <c r="C91" s="156" t="s">
        <v>201</v>
      </c>
      <c r="D91" s="155" t="s">
        <v>110</v>
      </c>
      <c r="E91" s="921" t="s">
        <v>202</v>
      </c>
      <c r="F91" s="921"/>
      <c r="G91" s="921"/>
      <c r="H91" s="155"/>
      <c r="I91" s="155" t="s">
        <v>112</v>
      </c>
      <c r="J91" s="922" t="s">
        <v>203</v>
      </c>
      <c r="K91" s="922"/>
      <c r="L91" s="922"/>
      <c r="M91" s="922"/>
      <c r="N91" s="155"/>
      <c r="O91" s="155"/>
      <c r="P91" s="155"/>
      <c r="Q91" s="155"/>
      <c r="R91" s="155"/>
      <c r="S91" s="155"/>
      <c r="T91" s="155"/>
      <c r="U91" s="155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5"/>
      <c r="C93" s="155"/>
      <c r="D93" s="155" t="s">
        <v>114</v>
      </c>
      <c r="E93" s="157"/>
      <c r="F93" s="157"/>
      <c r="G93" s="157"/>
      <c r="H93" s="155"/>
      <c r="I93" s="155" t="s">
        <v>114</v>
      </c>
      <c r="J93" s="158"/>
      <c r="K93" s="158"/>
      <c r="L93" s="158"/>
      <c r="M93" s="158"/>
      <c r="N93" s="155"/>
      <c r="O93" s="155"/>
      <c r="P93" s="155"/>
      <c r="Q93" s="155"/>
      <c r="R93" s="155"/>
      <c r="S93" s="155"/>
      <c r="T93" s="155"/>
      <c r="U93" s="155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5"/>
      <c r="C94" s="155"/>
      <c r="D94" s="155"/>
      <c r="E94" s="157"/>
      <c r="F94" s="157"/>
      <c r="G94" s="157"/>
      <c r="H94" s="155"/>
      <c r="I94" s="155"/>
      <c r="J94" s="158"/>
      <c r="K94" s="158"/>
      <c r="L94" s="158"/>
      <c r="M94" s="158"/>
      <c r="N94" s="155"/>
      <c r="O94" s="155"/>
      <c r="P94" s="155"/>
      <c r="Q94" s="155"/>
      <c r="R94" s="155"/>
      <c r="S94" s="155"/>
      <c r="T94" s="155"/>
      <c r="U94" s="155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43" priority="3" operator="equal">
      <formula>0</formula>
    </cfRule>
    <cfRule type="containsErrors" dxfId="42" priority="4">
      <formula>ISERROR(AB15)</formula>
    </cfRule>
  </conditionalFormatting>
  <conditionalFormatting sqref="AB28:AB41">
    <cfRule type="cellIs" dxfId="41" priority="1" operator="equal">
      <formula>0</formula>
    </cfRule>
    <cfRule type="containsErrors" dxfId="4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zoomScale="80" zoomScaleNormal="80" zoomScaleSheetLayoutView="80" workbookViewId="0">
      <selection activeCell="F67" sqref="F67:F7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59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204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926" t="s">
        <v>205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831476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27" t="s">
        <v>206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934" t="s">
        <v>6</v>
      </c>
      <c r="C10" s="917" t="s">
        <v>7</v>
      </c>
      <c r="D10" s="882" t="s">
        <v>8</v>
      </c>
      <c r="E10" s="883"/>
      <c r="F10" s="883"/>
      <c r="G10" s="883"/>
      <c r="H10" s="883"/>
      <c r="I10" s="884"/>
      <c r="J10" s="882" t="s">
        <v>207</v>
      </c>
      <c r="K10" s="883"/>
      <c r="L10" s="883"/>
      <c r="M10" s="883"/>
      <c r="N10" s="883"/>
      <c r="O10" s="884"/>
      <c r="P10" s="882" t="s">
        <v>10</v>
      </c>
      <c r="Q10" s="883"/>
      <c r="R10" s="883"/>
      <c r="S10" s="883"/>
      <c r="T10" s="883"/>
      <c r="U10" s="884"/>
      <c r="V10" s="882" t="s">
        <v>11</v>
      </c>
      <c r="W10" s="883"/>
      <c r="X10" s="883"/>
      <c r="Y10" s="883"/>
      <c r="Z10" s="883"/>
      <c r="AA10" s="884"/>
      <c r="AB10" s="900" t="s">
        <v>12</v>
      </c>
      <c r="AC10" s="3"/>
      <c r="AD10" s="3"/>
    </row>
    <row r="11" spans="1:30" ht="30.75" customHeight="1" thickBot="1" x14ac:dyDescent="0.3">
      <c r="A11" s="1"/>
      <c r="B11" s="935"/>
      <c r="C11" s="918"/>
      <c r="D11" s="903" t="s">
        <v>13</v>
      </c>
      <c r="E11" s="904"/>
      <c r="F11" s="904"/>
      <c r="G11" s="905"/>
      <c r="H11" s="8" t="s">
        <v>14</v>
      </c>
      <c r="I11" s="8" t="s">
        <v>15</v>
      </c>
      <c r="J11" s="903" t="s">
        <v>13</v>
      </c>
      <c r="K11" s="904"/>
      <c r="L11" s="904"/>
      <c r="M11" s="905"/>
      <c r="N11" s="8" t="s">
        <v>14</v>
      </c>
      <c r="O11" s="8" t="s">
        <v>15</v>
      </c>
      <c r="P11" s="903" t="s">
        <v>13</v>
      </c>
      <c r="Q11" s="904"/>
      <c r="R11" s="904"/>
      <c r="S11" s="905"/>
      <c r="T11" s="8" t="s">
        <v>14</v>
      </c>
      <c r="U11" s="8" t="s">
        <v>15</v>
      </c>
      <c r="V11" s="903" t="s">
        <v>13</v>
      </c>
      <c r="W11" s="904"/>
      <c r="X11" s="904"/>
      <c r="Y11" s="905"/>
      <c r="Z11" s="8" t="s">
        <v>14</v>
      </c>
      <c r="AA11" s="8" t="s">
        <v>15</v>
      </c>
      <c r="AB11" s="901"/>
      <c r="AC11" s="3"/>
      <c r="AD11" s="3"/>
    </row>
    <row r="12" spans="1:30" ht="15.75" customHeight="1" thickBot="1" x14ac:dyDescent="0.3">
      <c r="A12" s="1"/>
      <c r="B12" s="935"/>
      <c r="C12" s="919"/>
      <c r="D12" s="906" t="s">
        <v>16</v>
      </c>
      <c r="E12" s="907"/>
      <c r="F12" s="907"/>
      <c r="G12" s="907"/>
      <c r="H12" s="907"/>
      <c r="I12" s="908"/>
      <c r="J12" s="906" t="s">
        <v>16</v>
      </c>
      <c r="K12" s="907"/>
      <c r="L12" s="907"/>
      <c r="M12" s="907"/>
      <c r="N12" s="907"/>
      <c r="O12" s="908"/>
      <c r="P12" s="906" t="s">
        <v>16</v>
      </c>
      <c r="Q12" s="907"/>
      <c r="R12" s="907"/>
      <c r="S12" s="907"/>
      <c r="T12" s="907"/>
      <c r="U12" s="908"/>
      <c r="V12" s="906" t="s">
        <v>16</v>
      </c>
      <c r="W12" s="907"/>
      <c r="X12" s="907"/>
      <c r="Y12" s="907"/>
      <c r="Z12" s="907"/>
      <c r="AA12" s="908"/>
      <c r="AB12" s="901"/>
      <c r="AC12" s="3"/>
      <c r="AD12" s="3"/>
    </row>
    <row r="13" spans="1:30" ht="15.75" customHeight="1" thickBot="1" x14ac:dyDescent="0.3">
      <c r="A13" s="1"/>
      <c r="B13" s="936"/>
      <c r="C13" s="920"/>
      <c r="D13" s="909" t="s">
        <v>17</v>
      </c>
      <c r="E13" s="910"/>
      <c r="F13" s="910"/>
      <c r="G13" s="889" t="s">
        <v>18</v>
      </c>
      <c r="H13" s="891" t="s">
        <v>19</v>
      </c>
      <c r="I13" s="911" t="s">
        <v>16</v>
      </c>
      <c r="J13" s="909" t="s">
        <v>17</v>
      </c>
      <c r="K13" s="910"/>
      <c r="L13" s="910"/>
      <c r="M13" s="889" t="s">
        <v>18</v>
      </c>
      <c r="N13" s="891" t="s">
        <v>19</v>
      </c>
      <c r="O13" s="911" t="s">
        <v>16</v>
      </c>
      <c r="P13" s="909" t="s">
        <v>17</v>
      </c>
      <c r="Q13" s="910"/>
      <c r="R13" s="910"/>
      <c r="S13" s="889" t="s">
        <v>18</v>
      </c>
      <c r="T13" s="891" t="s">
        <v>19</v>
      </c>
      <c r="U13" s="911" t="s">
        <v>16</v>
      </c>
      <c r="V13" s="909" t="s">
        <v>17</v>
      </c>
      <c r="W13" s="910"/>
      <c r="X13" s="910"/>
      <c r="Y13" s="889" t="s">
        <v>18</v>
      </c>
      <c r="Z13" s="891" t="s">
        <v>19</v>
      </c>
      <c r="AA13" s="911" t="s">
        <v>16</v>
      </c>
      <c r="AB13" s="901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890"/>
      <c r="H14" s="892"/>
      <c r="I14" s="912"/>
      <c r="J14" s="11" t="s">
        <v>20</v>
      </c>
      <c r="K14" s="12" t="s">
        <v>21</v>
      </c>
      <c r="L14" s="12" t="s">
        <v>22</v>
      </c>
      <c r="M14" s="890"/>
      <c r="N14" s="892"/>
      <c r="O14" s="912"/>
      <c r="P14" s="11" t="s">
        <v>20</v>
      </c>
      <c r="Q14" s="12" t="s">
        <v>21</v>
      </c>
      <c r="R14" s="12" t="s">
        <v>22</v>
      </c>
      <c r="S14" s="890"/>
      <c r="T14" s="892"/>
      <c r="U14" s="912"/>
      <c r="V14" s="11" t="s">
        <v>20</v>
      </c>
      <c r="W14" s="12" t="s">
        <v>21</v>
      </c>
      <c r="X14" s="12" t="s">
        <v>22</v>
      </c>
      <c r="Y14" s="890"/>
      <c r="Z14" s="892"/>
      <c r="AA14" s="912"/>
      <c r="AB14" s="902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745.3</v>
      </c>
      <c r="G15" s="18">
        <f>SUM(D15:F15)</f>
        <v>745.3</v>
      </c>
      <c r="H15" s="19"/>
      <c r="I15" s="20">
        <f>G15+H15</f>
        <v>745.3</v>
      </c>
      <c r="J15" s="15"/>
      <c r="K15" s="16"/>
      <c r="L15" s="17">
        <v>1250</v>
      </c>
      <c r="M15" s="18">
        <f t="shared" ref="M15:M23" si="0">SUM(J15:L15)</f>
        <v>1250</v>
      </c>
      <c r="N15" s="19">
        <v>0</v>
      </c>
      <c r="O15" s="20">
        <f>M15+N15</f>
        <v>1250</v>
      </c>
      <c r="P15" s="15"/>
      <c r="Q15" s="16"/>
      <c r="R15" s="17">
        <v>776.6</v>
      </c>
      <c r="S15" s="18">
        <f>SUM(P15:R15)</f>
        <v>776.6</v>
      </c>
      <c r="T15" s="19">
        <v>0</v>
      </c>
      <c r="U15" s="20">
        <f>S15+T15</f>
        <v>776.6</v>
      </c>
      <c r="V15" s="15"/>
      <c r="W15" s="16"/>
      <c r="X15" s="17">
        <v>1250</v>
      </c>
      <c r="Y15" s="18">
        <f t="shared" ref="Y15:Y23" si="1">SUM(V15:X15)</f>
        <v>1250</v>
      </c>
      <c r="Z15" s="19"/>
      <c r="AA15" s="20">
        <f>Y15+Z15</f>
        <v>1250</v>
      </c>
      <c r="AB15" s="21">
        <f>(AA15/O15)</f>
        <v>1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4488.9399999999996</v>
      </c>
      <c r="E16" s="25"/>
      <c r="F16" s="25"/>
      <c r="G16" s="26">
        <f t="shared" ref="G16:G23" si="2">SUM(D16:F16)</f>
        <v>4488.9399999999996</v>
      </c>
      <c r="H16" s="27"/>
      <c r="I16" s="20">
        <f t="shared" ref="I16:I23" si="3">G16+H16</f>
        <v>4488.9399999999996</v>
      </c>
      <c r="J16" s="24">
        <v>5356.5</v>
      </c>
      <c r="K16" s="25"/>
      <c r="L16" s="25"/>
      <c r="M16" s="26">
        <f t="shared" si="0"/>
        <v>5356.5</v>
      </c>
      <c r="N16" s="27"/>
      <c r="O16" s="20">
        <f t="shared" ref="O16:O20" si="4">M16+N16</f>
        <v>5356.5</v>
      </c>
      <c r="P16" s="24">
        <v>2553.1999999999998</v>
      </c>
      <c r="Q16" s="25"/>
      <c r="R16" s="25"/>
      <c r="S16" s="26">
        <f t="shared" ref="S16:S23" si="5">SUM(P16:R16)</f>
        <v>2553.1999999999998</v>
      </c>
      <c r="T16" s="27"/>
      <c r="U16" s="20">
        <f t="shared" ref="U16:U20" si="6">S16+T16</f>
        <v>2553.1999999999998</v>
      </c>
      <c r="V16" s="24">
        <v>5941.3</v>
      </c>
      <c r="W16" s="25"/>
      <c r="X16" s="25"/>
      <c r="Y16" s="26">
        <f t="shared" si="1"/>
        <v>5941.3</v>
      </c>
      <c r="Z16" s="27"/>
      <c r="AA16" s="20">
        <f t="shared" ref="AA16:AA20" si="7">Y16+Z16</f>
        <v>5941.3</v>
      </c>
      <c r="AB16" s="21">
        <f t="shared" ref="AB16:AB24" si="8">(AA16/O16)</f>
        <v>1.1091757677587977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699.45</v>
      </c>
      <c r="E17" s="30"/>
      <c r="F17" s="30"/>
      <c r="G17" s="26">
        <f t="shared" si="2"/>
        <v>699.45</v>
      </c>
      <c r="H17" s="31"/>
      <c r="I17" s="20">
        <f t="shared" si="3"/>
        <v>699.45</v>
      </c>
      <c r="J17" s="29">
        <v>1037.0999999999999</v>
      </c>
      <c r="K17" s="30"/>
      <c r="L17" s="30"/>
      <c r="M17" s="26">
        <f t="shared" si="0"/>
        <v>1037.0999999999999</v>
      </c>
      <c r="N17" s="31"/>
      <c r="O17" s="20">
        <f t="shared" si="4"/>
        <v>1037.0999999999999</v>
      </c>
      <c r="P17" s="29">
        <v>216.3</v>
      </c>
      <c r="Q17" s="30"/>
      <c r="R17" s="30"/>
      <c r="S17" s="26">
        <f t="shared" si="5"/>
        <v>216.3</v>
      </c>
      <c r="T17" s="31"/>
      <c r="U17" s="20">
        <f t="shared" si="6"/>
        <v>216.3</v>
      </c>
      <c r="V17" s="29">
        <v>384.2</v>
      </c>
      <c r="W17" s="30"/>
      <c r="X17" s="30"/>
      <c r="Y17" s="26">
        <f t="shared" si="1"/>
        <v>384.2</v>
      </c>
      <c r="Z17" s="31"/>
      <c r="AA17" s="20">
        <f t="shared" si="7"/>
        <v>384.2</v>
      </c>
      <c r="AB17" s="21">
        <f t="shared" si="8"/>
        <v>0.37045607945231901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39074.5</v>
      </c>
      <c r="F18" s="30"/>
      <c r="G18" s="26">
        <f t="shared" si="2"/>
        <v>39074.5</v>
      </c>
      <c r="H18" s="19"/>
      <c r="I18" s="20">
        <f t="shared" si="3"/>
        <v>39074.5</v>
      </c>
      <c r="J18" s="33"/>
      <c r="K18" s="34">
        <v>40310.9</v>
      </c>
      <c r="L18" s="30"/>
      <c r="M18" s="26">
        <f t="shared" si="0"/>
        <v>40310.9</v>
      </c>
      <c r="N18" s="19"/>
      <c r="O18" s="20">
        <f t="shared" si="4"/>
        <v>40310.9</v>
      </c>
      <c r="P18" s="33"/>
      <c r="Q18" s="34">
        <v>18209.2</v>
      </c>
      <c r="R18" s="30"/>
      <c r="S18" s="26">
        <f t="shared" si="5"/>
        <v>18209.2</v>
      </c>
      <c r="T18" s="19"/>
      <c r="U18" s="20">
        <f t="shared" si="6"/>
        <v>18209.2</v>
      </c>
      <c r="V18" s="33"/>
      <c r="W18" s="34">
        <v>38476</v>
      </c>
      <c r="X18" s="30"/>
      <c r="Y18" s="26">
        <f t="shared" si="1"/>
        <v>38476</v>
      </c>
      <c r="Z18" s="19"/>
      <c r="AA18" s="20">
        <f t="shared" si="7"/>
        <v>38476</v>
      </c>
      <c r="AB18" s="21">
        <f t="shared" si="8"/>
        <v>0.9544812941412868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>
        <v>550.29999999999995</v>
      </c>
      <c r="E19" s="30"/>
      <c r="F19" s="37"/>
      <c r="G19" s="26">
        <f t="shared" si="2"/>
        <v>550.29999999999995</v>
      </c>
      <c r="H19" s="38"/>
      <c r="I19" s="20">
        <f t="shared" si="3"/>
        <v>550.29999999999995</v>
      </c>
      <c r="J19" s="36"/>
      <c r="K19" s="30"/>
      <c r="L19" s="37">
        <v>550.29999999999995</v>
      </c>
      <c r="M19" s="26">
        <f t="shared" si="0"/>
        <v>550.29999999999995</v>
      </c>
      <c r="N19" s="38"/>
      <c r="O19" s="20">
        <f t="shared" si="4"/>
        <v>550.29999999999995</v>
      </c>
      <c r="P19" s="36"/>
      <c r="Q19" s="30"/>
      <c r="R19" s="37">
        <v>275.14999999999998</v>
      </c>
      <c r="S19" s="26">
        <f t="shared" si="5"/>
        <v>275.14999999999998</v>
      </c>
      <c r="T19" s="38"/>
      <c r="U19" s="20">
        <f t="shared" si="6"/>
        <v>275.14999999999998</v>
      </c>
      <c r="V19" s="36"/>
      <c r="W19" s="30"/>
      <c r="X19" s="37">
        <v>550.29999999999995</v>
      </c>
      <c r="Y19" s="26">
        <f t="shared" si="1"/>
        <v>550.29999999999995</v>
      </c>
      <c r="Z19" s="38"/>
      <c r="AA19" s="20">
        <f t="shared" si="7"/>
        <v>550.29999999999995</v>
      </c>
      <c r="AB19" s="21">
        <f t="shared" si="8"/>
        <v>1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>
        <v>1887</v>
      </c>
      <c r="F20" s="40">
        <v>124.8</v>
      </c>
      <c r="G20" s="26">
        <f t="shared" si="2"/>
        <v>2011.8</v>
      </c>
      <c r="H20" s="38"/>
      <c r="I20" s="20">
        <f t="shared" si="3"/>
        <v>2011.8</v>
      </c>
      <c r="J20" s="33"/>
      <c r="K20" s="25"/>
      <c r="L20" s="40"/>
      <c r="M20" s="26">
        <f t="shared" si="0"/>
        <v>0</v>
      </c>
      <c r="N20" s="38"/>
      <c r="O20" s="20">
        <f t="shared" si="4"/>
        <v>0</v>
      </c>
      <c r="P20" s="33"/>
      <c r="Q20" s="25"/>
      <c r="R20" s="40">
        <v>1666.8</v>
      </c>
      <c r="S20" s="26">
        <f t="shared" si="5"/>
        <v>1666.8</v>
      </c>
      <c r="T20" s="38"/>
      <c r="U20" s="20">
        <f t="shared" si="6"/>
        <v>1666.8</v>
      </c>
      <c r="V20" s="33"/>
      <c r="W20" s="25"/>
      <c r="X20" s="40"/>
      <c r="Y20" s="26">
        <f t="shared" si="1"/>
        <v>0</v>
      </c>
      <c r="Z20" s="38"/>
      <c r="AA20" s="20">
        <f t="shared" si="7"/>
        <v>0</v>
      </c>
      <c r="AB20" s="21" t="e">
        <f t="shared" si="8"/>
        <v>#DIV/0!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>
        <v>663.2</v>
      </c>
      <c r="F21" s="40">
        <v>36.4</v>
      </c>
      <c r="G21" s="26">
        <f t="shared" si="2"/>
        <v>699.6</v>
      </c>
      <c r="H21" s="42">
        <v>101</v>
      </c>
      <c r="I21" s="20">
        <f>G21+H21</f>
        <v>800.6</v>
      </c>
      <c r="J21" s="33"/>
      <c r="K21" s="25"/>
      <c r="L21" s="40"/>
      <c r="M21" s="26">
        <f t="shared" si="0"/>
        <v>0</v>
      </c>
      <c r="N21" s="42">
        <v>120</v>
      </c>
      <c r="O21" s="20">
        <f>M21+N21</f>
        <v>120</v>
      </c>
      <c r="P21" s="33"/>
      <c r="Q21" s="25"/>
      <c r="R21" s="40"/>
      <c r="S21" s="26">
        <f t="shared" si="5"/>
        <v>0</v>
      </c>
      <c r="T21" s="42">
        <v>73.2</v>
      </c>
      <c r="U21" s="20">
        <f>S21+T21</f>
        <v>73.2</v>
      </c>
      <c r="V21" s="33"/>
      <c r="W21" s="25"/>
      <c r="X21" s="40"/>
      <c r="Y21" s="26">
        <f t="shared" si="1"/>
        <v>0</v>
      </c>
      <c r="Z21" s="42">
        <v>120</v>
      </c>
      <c r="AA21" s="20">
        <f>Y21+Z21</f>
        <v>120</v>
      </c>
      <c r="AB21" s="21">
        <f t="shared" si="8"/>
        <v>1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2"/>
        <v>0</v>
      </c>
      <c r="H22" s="42">
        <v>101</v>
      </c>
      <c r="I22" s="20">
        <f t="shared" si="3"/>
        <v>101</v>
      </c>
      <c r="J22" s="33"/>
      <c r="K22" s="25"/>
      <c r="L22" s="40"/>
      <c r="M22" s="26">
        <f t="shared" si="0"/>
        <v>0</v>
      </c>
      <c r="N22" s="42">
        <v>120</v>
      </c>
      <c r="O22" s="20">
        <f t="shared" ref="O22:O23" si="9">M22+N22</f>
        <v>120</v>
      </c>
      <c r="P22" s="33"/>
      <c r="Q22" s="25"/>
      <c r="R22" s="40"/>
      <c r="S22" s="26">
        <f t="shared" si="5"/>
        <v>0</v>
      </c>
      <c r="T22" s="42">
        <v>73.2</v>
      </c>
      <c r="U22" s="20">
        <f t="shared" ref="U22:U23" si="10">S22+T22</f>
        <v>73.2</v>
      </c>
      <c r="V22" s="33"/>
      <c r="W22" s="25"/>
      <c r="X22" s="40"/>
      <c r="Y22" s="26">
        <f t="shared" si="1"/>
        <v>0</v>
      </c>
      <c r="Z22" s="42">
        <v>120</v>
      </c>
      <c r="AA22" s="20">
        <f t="shared" ref="AA22:AA23" si="11">Y22+Z22</f>
        <v>120</v>
      </c>
      <c r="AB22" s="21">
        <f t="shared" si="8"/>
        <v>1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2"/>
        <v>0</v>
      </c>
      <c r="H23" s="49"/>
      <c r="I23" s="50">
        <f t="shared" si="3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5"/>
        <v>0</v>
      </c>
      <c r="T23" s="49"/>
      <c r="U23" s="50">
        <f t="shared" si="10"/>
        <v>0</v>
      </c>
      <c r="V23" s="45"/>
      <c r="W23" s="46"/>
      <c r="X23" s="47"/>
      <c r="Y23" s="48">
        <f t="shared" si="1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5738.69</v>
      </c>
      <c r="E24" s="55">
        <f>SUM(E15:E21)</f>
        <v>41624.699999999997</v>
      </c>
      <c r="F24" s="55">
        <f>SUM(F15:F21)</f>
        <v>906.49999999999989</v>
      </c>
      <c r="G24" s="56">
        <f>SUM(D24:F24)</f>
        <v>48269.89</v>
      </c>
      <c r="H24" s="57">
        <f>SUM(H15:H21)</f>
        <v>101</v>
      </c>
      <c r="I24" s="57">
        <f>SUM(I15:I21)</f>
        <v>48370.890000000007</v>
      </c>
      <c r="J24" s="54">
        <f>SUM(J15:J21)</f>
        <v>6393.6</v>
      </c>
      <c r="K24" s="55">
        <f>SUM(K15:K21)</f>
        <v>40310.9</v>
      </c>
      <c r="L24" s="55">
        <f>SUM(L15:L21)</f>
        <v>1800.3</v>
      </c>
      <c r="M24" s="56">
        <f>SUM(J24:L24)</f>
        <v>48504.800000000003</v>
      </c>
      <c r="N24" s="57">
        <f>SUM(N15:N21)</f>
        <v>120</v>
      </c>
      <c r="O24" s="57">
        <f>SUM(O15:O21)</f>
        <v>48624.800000000003</v>
      </c>
      <c r="P24" s="54">
        <f>SUM(P15:P21)</f>
        <v>2769.5</v>
      </c>
      <c r="Q24" s="55">
        <f>SUM(Q15:Q21)</f>
        <v>18209.2</v>
      </c>
      <c r="R24" s="55">
        <f>SUM(R15:R21)</f>
        <v>2718.55</v>
      </c>
      <c r="S24" s="56">
        <f>SUM(P24:R24)</f>
        <v>23697.25</v>
      </c>
      <c r="T24" s="57">
        <f>SUM(T15:T21)</f>
        <v>73.2</v>
      </c>
      <c r="U24" s="57">
        <f>SUM(U15:U21)</f>
        <v>23770.45</v>
      </c>
      <c r="V24" s="54">
        <f>SUM(V15:V21)</f>
        <v>6325.5</v>
      </c>
      <c r="W24" s="55">
        <f>SUM(W15:W21)</f>
        <v>38476</v>
      </c>
      <c r="X24" s="55">
        <f>SUM(X15:X21)</f>
        <v>1800.3</v>
      </c>
      <c r="Y24" s="56">
        <f>SUM(V24:X24)</f>
        <v>46601.8</v>
      </c>
      <c r="Z24" s="57">
        <f>SUM(Z15:Z21)</f>
        <v>120</v>
      </c>
      <c r="AA24" s="57">
        <f>SUM(AA15:AA21)</f>
        <v>46721.8</v>
      </c>
      <c r="AB24" s="58">
        <f t="shared" si="8"/>
        <v>0.96086359224099638</v>
      </c>
      <c r="AC24" s="3"/>
      <c r="AD24" s="3"/>
    </row>
    <row r="25" spans="1:30" ht="15.75" customHeight="1" thickBot="1" x14ac:dyDescent="0.3">
      <c r="A25" s="1"/>
      <c r="B25" s="59"/>
      <c r="C25" s="60"/>
      <c r="D25" s="885" t="s">
        <v>43</v>
      </c>
      <c r="E25" s="886"/>
      <c r="F25" s="886"/>
      <c r="G25" s="887"/>
      <c r="H25" s="887"/>
      <c r="I25" s="888"/>
      <c r="J25" s="885" t="s">
        <v>43</v>
      </c>
      <c r="K25" s="886"/>
      <c r="L25" s="886"/>
      <c r="M25" s="887"/>
      <c r="N25" s="887"/>
      <c r="O25" s="888"/>
      <c r="P25" s="885" t="s">
        <v>43</v>
      </c>
      <c r="Q25" s="886"/>
      <c r="R25" s="886"/>
      <c r="S25" s="887"/>
      <c r="T25" s="887"/>
      <c r="U25" s="888"/>
      <c r="V25" s="885" t="s">
        <v>43</v>
      </c>
      <c r="W25" s="886"/>
      <c r="X25" s="886"/>
      <c r="Y25" s="887"/>
      <c r="Z25" s="887"/>
      <c r="AA25" s="888"/>
      <c r="AB25" s="893" t="s">
        <v>12</v>
      </c>
      <c r="AC25" s="3"/>
      <c r="AD25" s="3"/>
    </row>
    <row r="26" spans="1:30" ht="15.75" thickBot="1" x14ac:dyDescent="0.3">
      <c r="A26" s="1"/>
      <c r="B26" s="932" t="s">
        <v>6</v>
      </c>
      <c r="C26" s="917" t="s">
        <v>7</v>
      </c>
      <c r="D26" s="896" t="s">
        <v>44</v>
      </c>
      <c r="E26" s="897"/>
      <c r="F26" s="897"/>
      <c r="G26" s="913" t="s">
        <v>45</v>
      </c>
      <c r="H26" s="915" t="s">
        <v>46</v>
      </c>
      <c r="I26" s="898" t="s">
        <v>43</v>
      </c>
      <c r="J26" s="896" t="s">
        <v>44</v>
      </c>
      <c r="K26" s="897"/>
      <c r="L26" s="897"/>
      <c r="M26" s="913" t="s">
        <v>45</v>
      </c>
      <c r="N26" s="915" t="s">
        <v>46</v>
      </c>
      <c r="O26" s="898" t="s">
        <v>43</v>
      </c>
      <c r="P26" s="896" t="s">
        <v>44</v>
      </c>
      <c r="Q26" s="897"/>
      <c r="R26" s="897"/>
      <c r="S26" s="913" t="s">
        <v>45</v>
      </c>
      <c r="T26" s="915" t="s">
        <v>46</v>
      </c>
      <c r="U26" s="898" t="s">
        <v>43</v>
      </c>
      <c r="V26" s="896" t="s">
        <v>44</v>
      </c>
      <c r="W26" s="897"/>
      <c r="X26" s="897"/>
      <c r="Y26" s="913" t="s">
        <v>45</v>
      </c>
      <c r="Z26" s="915" t="s">
        <v>46</v>
      </c>
      <c r="AA26" s="898" t="s">
        <v>43</v>
      </c>
      <c r="AB26" s="894"/>
      <c r="AC26" s="3"/>
      <c r="AD26" s="3"/>
    </row>
    <row r="27" spans="1:30" ht="15.75" thickBot="1" x14ac:dyDescent="0.3">
      <c r="A27" s="1"/>
      <c r="B27" s="933"/>
      <c r="C27" s="918"/>
      <c r="D27" s="61" t="s">
        <v>47</v>
      </c>
      <c r="E27" s="62" t="s">
        <v>48</v>
      </c>
      <c r="F27" s="63" t="s">
        <v>49</v>
      </c>
      <c r="G27" s="914"/>
      <c r="H27" s="916"/>
      <c r="I27" s="899"/>
      <c r="J27" s="61" t="s">
        <v>47</v>
      </c>
      <c r="K27" s="62" t="s">
        <v>48</v>
      </c>
      <c r="L27" s="63" t="s">
        <v>49</v>
      </c>
      <c r="M27" s="914"/>
      <c r="N27" s="916"/>
      <c r="O27" s="899"/>
      <c r="P27" s="61" t="s">
        <v>47</v>
      </c>
      <c r="Q27" s="62" t="s">
        <v>48</v>
      </c>
      <c r="R27" s="63" t="s">
        <v>49</v>
      </c>
      <c r="S27" s="914"/>
      <c r="T27" s="916"/>
      <c r="U27" s="899"/>
      <c r="V27" s="61" t="s">
        <v>47</v>
      </c>
      <c r="W27" s="62" t="s">
        <v>48</v>
      </c>
      <c r="X27" s="63" t="s">
        <v>49</v>
      </c>
      <c r="Y27" s="914"/>
      <c r="Z27" s="916"/>
      <c r="AA27" s="899"/>
      <c r="AB27" s="895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8">
        <v>383.5</v>
      </c>
      <c r="E28" s="65"/>
      <c r="F28" s="65"/>
      <c r="G28" s="66">
        <f>SUM(D28:F28)</f>
        <v>383.5</v>
      </c>
      <c r="H28" s="631"/>
      <c r="I28" s="67">
        <f>G28+H28</f>
        <v>383.5</v>
      </c>
      <c r="J28" s="68">
        <v>740</v>
      </c>
      <c r="K28" s="65"/>
      <c r="L28" s="65"/>
      <c r="M28" s="66">
        <f>SUM(J28:L28)</f>
        <v>740</v>
      </c>
      <c r="N28" s="66"/>
      <c r="O28" s="67">
        <f>M28+N28</f>
        <v>740</v>
      </c>
      <c r="P28" s="68">
        <v>144.80000000000001</v>
      </c>
      <c r="Q28" s="65"/>
      <c r="R28" s="65">
        <v>8.3000000000000007</v>
      </c>
      <c r="S28" s="66">
        <f>SUM(P28:R28)</f>
        <v>153.10000000000002</v>
      </c>
      <c r="T28" s="66"/>
      <c r="U28" s="67">
        <f>S28+T28</f>
        <v>153.10000000000002</v>
      </c>
      <c r="V28" s="68">
        <v>740</v>
      </c>
      <c r="W28" s="65"/>
      <c r="X28" s="65"/>
      <c r="Y28" s="66">
        <f>SUM(V28:X28)</f>
        <v>740</v>
      </c>
      <c r="Z28" s="66"/>
      <c r="AA28" s="67">
        <f>Y28+Z28</f>
        <v>740</v>
      </c>
      <c r="AB28" s="21">
        <f t="shared" ref="AB28:AB41" si="12">(AA28/O28)</f>
        <v>1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3">
        <v>398.3</v>
      </c>
      <c r="E29" s="632">
        <v>754</v>
      </c>
      <c r="F29" s="70">
        <v>768.9</v>
      </c>
      <c r="G29" s="71">
        <f t="shared" ref="G29:G38" si="13">SUM(D29:F29)</f>
        <v>1921.1999999999998</v>
      </c>
      <c r="H29" s="633"/>
      <c r="I29" s="20">
        <f t="shared" ref="I29:I38" si="14">G29+H29</f>
        <v>1921.1999999999998</v>
      </c>
      <c r="J29" s="73">
        <v>435.8</v>
      </c>
      <c r="K29" s="70">
        <v>282.3</v>
      </c>
      <c r="L29" s="70">
        <v>1250</v>
      </c>
      <c r="M29" s="71">
        <f t="shared" ref="M29:M38" si="15">SUM(J29:L29)</f>
        <v>1968.1</v>
      </c>
      <c r="N29" s="72"/>
      <c r="O29" s="20">
        <f t="shared" ref="O29:O38" si="16">M29+N29</f>
        <v>1968.1</v>
      </c>
      <c r="P29" s="73">
        <v>268</v>
      </c>
      <c r="Q29" s="70">
        <v>134.6</v>
      </c>
      <c r="R29" s="70">
        <v>719.8</v>
      </c>
      <c r="S29" s="71">
        <f t="shared" ref="S29:S38" si="17">SUM(P29:R29)</f>
        <v>1122.4000000000001</v>
      </c>
      <c r="T29" s="72"/>
      <c r="U29" s="20">
        <f t="shared" ref="U29:U38" si="18">S29+T29</f>
        <v>1122.4000000000001</v>
      </c>
      <c r="V29" s="73">
        <v>482.2</v>
      </c>
      <c r="W29" s="70">
        <v>282.3</v>
      </c>
      <c r="X29" s="70">
        <v>1250</v>
      </c>
      <c r="Y29" s="71">
        <f t="shared" ref="Y29:Y38" si="19">SUM(V29:X29)</f>
        <v>2014.5</v>
      </c>
      <c r="Z29" s="72"/>
      <c r="AA29" s="20">
        <f t="shared" ref="AA29:AA38" si="20">Y29+Z29</f>
        <v>2014.5</v>
      </c>
      <c r="AB29" s="21">
        <f t="shared" si="12"/>
        <v>1.0235760378029573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5">
        <v>1597.2</v>
      </c>
      <c r="E30" s="632"/>
      <c r="F30" s="74"/>
      <c r="G30" s="71">
        <f t="shared" si="13"/>
        <v>1597.2</v>
      </c>
      <c r="H30" s="634">
        <v>13</v>
      </c>
      <c r="I30" s="20">
        <f t="shared" si="14"/>
        <v>1610.2</v>
      </c>
      <c r="J30" s="75">
        <v>2681.3</v>
      </c>
      <c r="K30" s="74"/>
      <c r="L30" s="74"/>
      <c r="M30" s="71">
        <f t="shared" si="15"/>
        <v>2681.3</v>
      </c>
      <c r="N30" s="71">
        <v>120</v>
      </c>
      <c r="O30" s="20">
        <f t="shared" si="16"/>
        <v>2801.3</v>
      </c>
      <c r="P30" s="75">
        <v>1139.5</v>
      </c>
      <c r="Q30" s="74"/>
      <c r="R30" s="74"/>
      <c r="S30" s="71">
        <f t="shared" si="17"/>
        <v>1139.5</v>
      </c>
      <c r="T30" s="71"/>
      <c r="U30" s="20">
        <f t="shared" si="18"/>
        <v>1139.5</v>
      </c>
      <c r="V30" s="75">
        <v>2681.3</v>
      </c>
      <c r="W30" s="74"/>
      <c r="X30" s="74"/>
      <c r="Y30" s="71">
        <f t="shared" si="19"/>
        <v>2681.3</v>
      </c>
      <c r="Z30" s="71">
        <v>120</v>
      </c>
      <c r="AA30" s="20">
        <f t="shared" si="20"/>
        <v>2801.3</v>
      </c>
      <c r="AB30" s="21">
        <f t="shared" si="12"/>
        <v>1</v>
      </c>
      <c r="AC30" s="3"/>
      <c r="AD30" s="3"/>
    </row>
    <row r="31" spans="1:30" x14ac:dyDescent="0.25">
      <c r="A31" s="1"/>
      <c r="B31" s="22" t="s">
        <v>56</v>
      </c>
      <c r="C31" s="41" t="s">
        <v>57</v>
      </c>
      <c r="D31" s="75">
        <v>729.9</v>
      </c>
      <c r="E31" s="632">
        <v>50.7</v>
      </c>
      <c r="F31" s="74">
        <v>14.5</v>
      </c>
      <c r="G31" s="71">
        <f t="shared" si="13"/>
        <v>795.1</v>
      </c>
      <c r="H31" s="634"/>
      <c r="I31" s="20">
        <f t="shared" si="14"/>
        <v>795.1</v>
      </c>
      <c r="J31" s="75">
        <v>989.2</v>
      </c>
      <c r="K31" s="74">
        <v>55</v>
      </c>
      <c r="L31" s="74"/>
      <c r="M31" s="71">
        <f t="shared" si="15"/>
        <v>1044.2</v>
      </c>
      <c r="N31" s="71"/>
      <c r="O31" s="20">
        <f t="shared" si="16"/>
        <v>1044.2</v>
      </c>
      <c r="P31" s="75">
        <v>493.7</v>
      </c>
      <c r="Q31" s="74">
        <v>53.5</v>
      </c>
      <c r="R31" s="74">
        <v>32.6</v>
      </c>
      <c r="S31" s="71">
        <f t="shared" si="17"/>
        <v>579.80000000000007</v>
      </c>
      <c r="T31" s="71"/>
      <c r="U31" s="20">
        <f t="shared" si="18"/>
        <v>579.80000000000007</v>
      </c>
      <c r="V31" s="75">
        <v>983.8</v>
      </c>
      <c r="W31" s="74"/>
      <c r="X31" s="74"/>
      <c r="Y31" s="71">
        <f t="shared" si="19"/>
        <v>983.8</v>
      </c>
      <c r="Z31" s="71"/>
      <c r="AA31" s="20">
        <f t="shared" si="20"/>
        <v>983.8</v>
      </c>
      <c r="AB31" s="21">
        <f t="shared" si="12"/>
        <v>0.94215667496648148</v>
      </c>
      <c r="AC31" s="3"/>
      <c r="AD31" s="3"/>
    </row>
    <row r="32" spans="1:30" x14ac:dyDescent="0.25">
      <c r="A32" s="1"/>
      <c r="B32" s="22" t="s">
        <v>58</v>
      </c>
      <c r="C32" s="41" t="s">
        <v>59</v>
      </c>
      <c r="D32" s="77">
        <v>844.6</v>
      </c>
      <c r="E32" s="632">
        <v>29434.7</v>
      </c>
      <c r="F32" s="74">
        <v>25.3</v>
      </c>
      <c r="G32" s="71">
        <f t="shared" si="13"/>
        <v>30304.6</v>
      </c>
      <c r="H32" s="634"/>
      <c r="I32" s="20">
        <f t="shared" si="14"/>
        <v>30304.6</v>
      </c>
      <c r="J32" s="77">
        <v>448.8</v>
      </c>
      <c r="K32" s="74">
        <v>28119.3</v>
      </c>
      <c r="L32" s="74"/>
      <c r="M32" s="71">
        <f t="shared" si="15"/>
        <v>28568.1</v>
      </c>
      <c r="N32" s="71"/>
      <c r="O32" s="20">
        <f t="shared" si="16"/>
        <v>28568.1</v>
      </c>
      <c r="P32" s="77">
        <v>206.8</v>
      </c>
      <c r="Q32" s="74">
        <v>13145.5</v>
      </c>
      <c r="R32" s="74">
        <v>1203.0999999999999</v>
      </c>
      <c r="S32" s="71">
        <f t="shared" si="17"/>
        <v>14555.4</v>
      </c>
      <c r="T32" s="71"/>
      <c r="U32" s="20">
        <f t="shared" si="18"/>
        <v>14555.4</v>
      </c>
      <c r="V32" s="77">
        <v>395.2</v>
      </c>
      <c r="W32" s="74">
        <v>27769.7</v>
      </c>
      <c r="X32" s="74"/>
      <c r="Y32" s="71">
        <f t="shared" si="19"/>
        <v>28164.9</v>
      </c>
      <c r="Z32" s="71"/>
      <c r="AA32" s="20">
        <f t="shared" si="20"/>
        <v>28164.9</v>
      </c>
      <c r="AB32" s="21">
        <f t="shared" si="12"/>
        <v>0.98588635576044614</v>
      </c>
      <c r="AC32" s="3"/>
      <c r="AD32" s="3"/>
    </row>
    <row r="33" spans="1:30" x14ac:dyDescent="0.25">
      <c r="A33" s="1"/>
      <c r="B33" s="22" t="s">
        <v>60</v>
      </c>
      <c r="C33" s="35" t="s">
        <v>61</v>
      </c>
      <c r="D33" s="77">
        <v>501</v>
      </c>
      <c r="E33" s="632">
        <v>29040.5</v>
      </c>
      <c r="F33" s="74">
        <v>25.3</v>
      </c>
      <c r="G33" s="71">
        <f t="shared" si="13"/>
        <v>29566.799999999999</v>
      </c>
      <c r="H33" s="634"/>
      <c r="I33" s="20">
        <f t="shared" si="14"/>
        <v>29566.799999999999</v>
      </c>
      <c r="J33" s="77">
        <v>268.8</v>
      </c>
      <c r="K33" s="74">
        <v>27708.799999999999</v>
      </c>
      <c r="L33" s="74"/>
      <c r="M33" s="71">
        <f t="shared" si="15"/>
        <v>27977.599999999999</v>
      </c>
      <c r="N33" s="71"/>
      <c r="O33" s="20">
        <f t="shared" si="16"/>
        <v>27977.599999999999</v>
      </c>
      <c r="P33" s="77">
        <v>146.30000000000001</v>
      </c>
      <c r="Q33" s="74">
        <v>12922.3</v>
      </c>
      <c r="R33" s="74">
        <v>1015.2</v>
      </c>
      <c r="S33" s="71">
        <f t="shared" si="17"/>
        <v>14083.8</v>
      </c>
      <c r="T33" s="71"/>
      <c r="U33" s="20">
        <f t="shared" si="18"/>
        <v>14083.8</v>
      </c>
      <c r="V33" s="77">
        <v>215.2</v>
      </c>
      <c r="W33" s="74">
        <v>27639.7</v>
      </c>
      <c r="X33" s="74"/>
      <c r="Y33" s="71">
        <f t="shared" si="19"/>
        <v>27854.9</v>
      </c>
      <c r="Z33" s="71"/>
      <c r="AA33" s="20">
        <f t="shared" si="20"/>
        <v>27854.9</v>
      </c>
      <c r="AB33" s="21">
        <f t="shared" si="12"/>
        <v>0.99561434862175469</v>
      </c>
      <c r="AC33" s="3"/>
      <c r="AD33" s="3"/>
    </row>
    <row r="34" spans="1:30" x14ac:dyDescent="0.25">
      <c r="A34" s="1"/>
      <c r="B34" s="22" t="s">
        <v>62</v>
      </c>
      <c r="C34" s="78" t="s">
        <v>63</v>
      </c>
      <c r="D34" s="77">
        <v>343.6</v>
      </c>
      <c r="E34" s="632">
        <v>394.2</v>
      </c>
      <c r="F34" s="74"/>
      <c r="G34" s="71">
        <f t="shared" si="13"/>
        <v>737.8</v>
      </c>
      <c r="H34" s="634"/>
      <c r="I34" s="20">
        <f t="shared" si="14"/>
        <v>737.8</v>
      </c>
      <c r="J34" s="77">
        <v>180</v>
      </c>
      <c r="K34" s="74">
        <v>410.5</v>
      </c>
      <c r="L34" s="74"/>
      <c r="M34" s="71">
        <f>SUM(J34:L34)</f>
        <v>590.5</v>
      </c>
      <c r="N34" s="71"/>
      <c r="O34" s="20">
        <f t="shared" si="16"/>
        <v>590.5</v>
      </c>
      <c r="P34" s="77">
        <v>60.5</v>
      </c>
      <c r="Q34" s="74">
        <v>223.2</v>
      </c>
      <c r="R34" s="74">
        <v>187.9</v>
      </c>
      <c r="S34" s="71">
        <f t="shared" si="17"/>
        <v>471.6</v>
      </c>
      <c r="T34" s="71"/>
      <c r="U34" s="20">
        <f t="shared" si="18"/>
        <v>471.6</v>
      </c>
      <c r="V34" s="77">
        <v>180</v>
      </c>
      <c r="W34" s="74">
        <v>130</v>
      </c>
      <c r="X34" s="74"/>
      <c r="Y34" s="71">
        <f t="shared" si="19"/>
        <v>310</v>
      </c>
      <c r="Z34" s="71"/>
      <c r="AA34" s="20">
        <f t="shared" si="20"/>
        <v>310</v>
      </c>
      <c r="AB34" s="21">
        <f t="shared" si="12"/>
        <v>0.52497883149872993</v>
      </c>
      <c r="AC34" s="3"/>
      <c r="AD34" s="3"/>
    </row>
    <row r="35" spans="1:30" x14ac:dyDescent="0.25">
      <c r="A35" s="1"/>
      <c r="B35" s="22" t="s">
        <v>64</v>
      </c>
      <c r="C35" s="41" t="s">
        <v>65</v>
      </c>
      <c r="D35" s="77">
        <v>115.4</v>
      </c>
      <c r="E35" s="632">
        <v>9805.2999999999993</v>
      </c>
      <c r="F35" s="74"/>
      <c r="G35" s="71">
        <f t="shared" si="13"/>
        <v>9920.6999999999989</v>
      </c>
      <c r="H35" s="634"/>
      <c r="I35" s="20">
        <f t="shared" si="14"/>
        <v>9920.6999999999989</v>
      </c>
      <c r="J35" s="77">
        <v>96.2</v>
      </c>
      <c r="K35" s="74">
        <v>9962.2999999999993</v>
      </c>
      <c r="L35" s="74"/>
      <c r="M35" s="71">
        <f t="shared" si="15"/>
        <v>10058.5</v>
      </c>
      <c r="N35" s="71"/>
      <c r="O35" s="20">
        <f t="shared" si="16"/>
        <v>10058.5</v>
      </c>
      <c r="P35" s="77">
        <v>28.6</v>
      </c>
      <c r="Q35" s="74">
        <v>4630.8999999999996</v>
      </c>
      <c r="R35" s="74">
        <v>386.3</v>
      </c>
      <c r="S35" s="71">
        <f t="shared" si="17"/>
        <v>5045.8</v>
      </c>
      <c r="T35" s="71"/>
      <c r="U35" s="20">
        <f t="shared" si="18"/>
        <v>5045.8</v>
      </c>
      <c r="V35" s="77">
        <v>77.099999999999994</v>
      </c>
      <c r="W35" s="74">
        <v>9939</v>
      </c>
      <c r="X35" s="74"/>
      <c r="Y35" s="71">
        <f t="shared" si="19"/>
        <v>10016.1</v>
      </c>
      <c r="Z35" s="71"/>
      <c r="AA35" s="20">
        <f t="shared" si="20"/>
        <v>10016.1</v>
      </c>
      <c r="AB35" s="21">
        <f t="shared" si="12"/>
        <v>0.995784659740518</v>
      </c>
      <c r="AC35" s="3"/>
      <c r="AD35" s="3"/>
    </row>
    <row r="36" spans="1:30" x14ac:dyDescent="0.25">
      <c r="A36" s="1"/>
      <c r="B36" s="22" t="s">
        <v>66</v>
      </c>
      <c r="C36" s="41" t="s">
        <v>67</v>
      </c>
      <c r="D36" s="75"/>
      <c r="E36" s="632"/>
      <c r="F36" s="74"/>
      <c r="G36" s="71">
        <f t="shared" si="13"/>
        <v>0</v>
      </c>
      <c r="H36" s="634"/>
      <c r="I36" s="20">
        <f t="shared" si="14"/>
        <v>0</v>
      </c>
      <c r="J36" s="75"/>
      <c r="K36" s="74"/>
      <c r="L36" s="74"/>
      <c r="M36" s="71">
        <f t="shared" si="15"/>
        <v>0</v>
      </c>
      <c r="N36" s="71"/>
      <c r="O36" s="20">
        <f t="shared" si="16"/>
        <v>0</v>
      </c>
      <c r="P36" s="75"/>
      <c r="Q36" s="74"/>
      <c r="R36" s="74"/>
      <c r="S36" s="71">
        <f t="shared" si="17"/>
        <v>0</v>
      </c>
      <c r="T36" s="71"/>
      <c r="U36" s="20">
        <f t="shared" si="18"/>
        <v>0</v>
      </c>
      <c r="V36" s="75"/>
      <c r="W36" s="74"/>
      <c r="X36" s="74"/>
      <c r="Y36" s="71">
        <f t="shared" si="19"/>
        <v>0</v>
      </c>
      <c r="Z36" s="71"/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68</v>
      </c>
      <c r="C37" s="41" t="s">
        <v>69</v>
      </c>
      <c r="D37" s="75">
        <v>1288.7</v>
      </c>
      <c r="E37" s="632"/>
      <c r="F37" s="74"/>
      <c r="G37" s="71">
        <f t="shared" si="13"/>
        <v>1288.7</v>
      </c>
      <c r="H37" s="634"/>
      <c r="I37" s="20">
        <f t="shared" si="14"/>
        <v>1288.7</v>
      </c>
      <c r="J37" s="75">
        <v>738.5</v>
      </c>
      <c r="K37" s="74">
        <v>1462</v>
      </c>
      <c r="L37" s="74">
        <v>550.29999999999995</v>
      </c>
      <c r="M37" s="71">
        <f t="shared" si="15"/>
        <v>2750.8</v>
      </c>
      <c r="N37" s="71"/>
      <c r="O37" s="20">
        <f t="shared" si="16"/>
        <v>2750.8</v>
      </c>
      <c r="P37" s="75">
        <v>422.7</v>
      </c>
      <c r="Q37" s="74"/>
      <c r="R37" s="74">
        <v>275.2</v>
      </c>
      <c r="S37" s="71">
        <f t="shared" si="17"/>
        <v>697.9</v>
      </c>
      <c r="T37" s="71"/>
      <c r="U37" s="20">
        <f t="shared" si="18"/>
        <v>697.9</v>
      </c>
      <c r="V37" s="75">
        <v>702.1</v>
      </c>
      <c r="W37" s="74"/>
      <c r="X37" s="74">
        <v>550.29999999999995</v>
      </c>
      <c r="Y37" s="71">
        <f t="shared" si="19"/>
        <v>1252.4000000000001</v>
      </c>
      <c r="Z37" s="71"/>
      <c r="AA37" s="20">
        <f t="shared" si="20"/>
        <v>1252.4000000000001</v>
      </c>
      <c r="AB37" s="21">
        <f t="shared" si="12"/>
        <v>0.45528573505889197</v>
      </c>
      <c r="AC37" s="3"/>
      <c r="AD37" s="3"/>
    </row>
    <row r="38" spans="1:30" ht="15.75" thickBot="1" x14ac:dyDescent="0.3">
      <c r="A38" s="1"/>
      <c r="B38" s="79" t="s">
        <v>70</v>
      </c>
      <c r="C38" s="80" t="s">
        <v>71</v>
      </c>
      <c r="D38" s="83">
        <v>381.1</v>
      </c>
      <c r="E38" s="635">
        <v>1580</v>
      </c>
      <c r="F38" s="81">
        <v>85</v>
      </c>
      <c r="G38" s="71">
        <f t="shared" si="13"/>
        <v>2046.1</v>
      </c>
      <c r="H38" s="636"/>
      <c r="I38" s="50">
        <f t="shared" si="14"/>
        <v>2046.1</v>
      </c>
      <c r="J38" s="83">
        <v>263.8</v>
      </c>
      <c r="K38" s="81">
        <v>430</v>
      </c>
      <c r="L38" s="81"/>
      <c r="M38" s="82">
        <f t="shared" si="15"/>
        <v>693.8</v>
      </c>
      <c r="N38" s="82"/>
      <c r="O38" s="50">
        <f t="shared" si="16"/>
        <v>693.8</v>
      </c>
      <c r="P38" s="83">
        <v>90.4</v>
      </c>
      <c r="Q38" s="81">
        <v>244.7</v>
      </c>
      <c r="R38" s="81">
        <v>61.8</v>
      </c>
      <c r="S38" s="82">
        <f t="shared" si="17"/>
        <v>396.90000000000003</v>
      </c>
      <c r="T38" s="82"/>
      <c r="U38" s="50">
        <f t="shared" si="18"/>
        <v>396.90000000000003</v>
      </c>
      <c r="V38" s="83">
        <v>263.8</v>
      </c>
      <c r="W38" s="81">
        <v>485</v>
      </c>
      <c r="X38" s="81"/>
      <c r="Y38" s="82">
        <f t="shared" si="19"/>
        <v>748.8</v>
      </c>
      <c r="Z38" s="82"/>
      <c r="AA38" s="50">
        <f t="shared" si="20"/>
        <v>748.8</v>
      </c>
      <c r="AB38" s="51">
        <f t="shared" si="12"/>
        <v>1.0792735658691266</v>
      </c>
      <c r="AC38" s="3"/>
      <c r="AD38" s="3"/>
    </row>
    <row r="39" spans="1:30" ht="15.75" thickBot="1" x14ac:dyDescent="0.3">
      <c r="A39" s="1"/>
      <c r="B39" s="52" t="s">
        <v>72</v>
      </c>
      <c r="C39" s="84" t="s">
        <v>73</v>
      </c>
      <c r="D39" s="85">
        <f>SUM(D35:D38)+SUM(D28:D32)</f>
        <v>5738.7000000000007</v>
      </c>
      <c r="E39" s="85">
        <f>SUM(E35:E38)+SUM(E28:E32)</f>
        <v>41624.699999999997</v>
      </c>
      <c r="F39" s="85">
        <f>SUM(F35:F38)+SUM(F28:F32)</f>
        <v>893.69999999999993</v>
      </c>
      <c r="G39" s="86">
        <f>SUM(D39:F39)</f>
        <v>48257.099999999991</v>
      </c>
      <c r="H39" s="87">
        <f>SUM(H28:H32)+SUM(H35:H38)</f>
        <v>13</v>
      </c>
      <c r="I39" s="88">
        <f>SUM(I35:I38)+SUM(I28:I32)</f>
        <v>48270.1</v>
      </c>
      <c r="J39" s="85">
        <f>SUM(J35:J38)+SUM(J28:J32)</f>
        <v>6393.6</v>
      </c>
      <c r="K39" s="85">
        <f>SUM(K35:K38)+SUM(K28:K32)</f>
        <v>40310.899999999994</v>
      </c>
      <c r="L39" s="85">
        <f>SUM(L35:L38)+SUM(L28:L32)</f>
        <v>1800.3</v>
      </c>
      <c r="M39" s="86">
        <f>SUM(J39:L39)</f>
        <v>48504.799999999996</v>
      </c>
      <c r="N39" s="87">
        <f>SUM(N28:N32)+SUM(N35:N38)</f>
        <v>120</v>
      </c>
      <c r="O39" s="88">
        <f>SUM(O35:O38)+SUM(O28:O32)</f>
        <v>48624.799999999996</v>
      </c>
      <c r="P39" s="85">
        <f>SUM(P35:P38)+SUM(P28:P32)</f>
        <v>2794.5</v>
      </c>
      <c r="Q39" s="85">
        <f>SUM(Q35:Q38)+SUM(Q28:Q32)</f>
        <v>18209.2</v>
      </c>
      <c r="R39" s="85">
        <f>SUM(R35:R38)+SUM(R28:R32)</f>
        <v>2687.0999999999995</v>
      </c>
      <c r="S39" s="86">
        <f>SUM(P39:R39)</f>
        <v>23690.799999999999</v>
      </c>
      <c r="T39" s="87">
        <f>SUM(T28:T32)+SUM(T35:T38)</f>
        <v>0</v>
      </c>
      <c r="U39" s="88">
        <f>SUM(U35:U38)+SUM(U28:U32)</f>
        <v>23690.799999999999</v>
      </c>
      <c r="V39" s="85">
        <f>SUM(V35:V38)+SUM(V28:V32)</f>
        <v>6325.5</v>
      </c>
      <c r="W39" s="85">
        <f>SUM(W35:W38)+SUM(W28:W32)</f>
        <v>38476</v>
      </c>
      <c r="X39" s="85">
        <f>SUM(X35:X38)+SUM(X28:X32)</f>
        <v>1800.3</v>
      </c>
      <c r="Y39" s="86">
        <f>SUM(V39:X39)</f>
        <v>46601.8</v>
      </c>
      <c r="Z39" s="87">
        <f>SUM(Z28:Z32)+SUM(Z35:Z38)</f>
        <v>120</v>
      </c>
      <c r="AA39" s="88">
        <f>SUM(AA35:AA38)+SUM(AA28:AA32)</f>
        <v>46721.8</v>
      </c>
      <c r="AB39" s="89">
        <f t="shared" si="12"/>
        <v>0.96086359224099649</v>
      </c>
      <c r="AC39" s="3"/>
      <c r="AD39" s="3"/>
    </row>
    <row r="40" spans="1:30" ht="19.5" thickBot="1" x14ac:dyDescent="0.35">
      <c r="A40" s="1"/>
      <c r="B40" s="90" t="s">
        <v>74</v>
      </c>
      <c r="C40" s="91" t="s">
        <v>75</v>
      </c>
      <c r="D40" s="92">
        <f t="shared" ref="D40:AA40" si="21">D24-D39</f>
        <v>-1.0000000001127773E-2</v>
      </c>
      <c r="E40" s="92">
        <f t="shared" si="21"/>
        <v>0</v>
      </c>
      <c r="F40" s="92">
        <f t="shared" si="21"/>
        <v>12.799999999999955</v>
      </c>
      <c r="G40" s="93">
        <f t="shared" si="21"/>
        <v>12.790000000008149</v>
      </c>
      <c r="H40" s="93">
        <f t="shared" si="21"/>
        <v>88</v>
      </c>
      <c r="I40" s="94">
        <f t="shared" si="21"/>
        <v>100.79000000000815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-25</v>
      </c>
      <c r="Q40" s="92">
        <f t="shared" si="21"/>
        <v>0</v>
      </c>
      <c r="R40" s="92">
        <f t="shared" si="21"/>
        <v>31.450000000000728</v>
      </c>
      <c r="S40" s="93">
        <f t="shared" si="21"/>
        <v>6.4500000000007276</v>
      </c>
      <c r="T40" s="93">
        <f t="shared" si="21"/>
        <v>73.2</v>
      </c>
      <c r="U40" s="94">
        <f t="shared" si="21"/>
        <v>79.650000000001455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76</v>
      </c>
      <c r="C41" s="97" t="s">
        <v>77</v>
      </c>
      <c r="D41" s="98"/>
      <c r="E41" s="99"/>
      <c r="F41" s="99"/>
      <c r="G41" s="100"/>
      <c r="H41" s="101"/>
      <c r="I41" s="102">
        <f>I40-D16</f>
        <v>-4388.1499999999915</v>
      </c>
      <c r="J41" s="98"/>
      <c r="K41" s="99"/>
      <c r="L41" s="99"/>
      <c r="M41" s="100"/>
      <c r="N41" s="103"/>
      <c r="O41" s="102">
        <f>O40-J16</f>
        <v>-5356.5</v>
      </c>
      <c r="P41" s="98"/>
      <c r="Q41" s="99"/>
      <c r="R41" s="99"/>
      <c r="S41" s="100"/>
      <c r="T41" s="103"/>
      <c r="U41" s="102">
        <f>U40-P16</f>
        <v>-2473.5499999999984</v>
      </c>
      <c r="V41" s="98"/>
      <c r="W41" s="99"/>
      <c r="X41" s="99"/>
      <c r="Y41" s="100"/>
      <c r="Z41" s="103"/>
      <c r="AA41" s="102">
        <f>AA40-V16</f>
        <v>-5941.3</v>
      </c>
      <c r="AB41" s="21">
        <f t="shared" si="12"/>
        <v>1.1091757677587977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928" t="s">
        <v>78</v>
      </c>
      <c r="D43" s="112" t="s">
        <v>79</v>
      </c>
      <c r="E43" s="113" t="s">
        <v>80</v>
      </c>
      <c r="F43" s="114" t="s">
        <v>81</v>
      </c>
      <c r="G43" s="108"/>
      <c r="H43" s="108"/>
      <c r="I43" s="115"/>
      <c r="J43" s="112" t="s">
        <v>79</v>
      </c>
      <c r="K43" s="113" t="s">
        <v>80</v>
      </c>
      <c r="L43" s="114" t="s">
        <v>81</v>
      </c>
      <c r="M43" s="108"/>
      <c r="N43" s="108"/>
      <c r="O43" s="108"/>
      <c r="P43" s="112" t="s">
        <v>79</v>
      </c>
      <c r="Q43" s="113" t="s">
        <v>80</v>
      </c>
      <c r="R43" s="114" t="s">
        <v>81</v>
      </c>
      <c r="S43" s="109"/>
      <c r="T43" s="109"/>
      <c r="U43" s="109"/>
      <c r="V43" s="112" t="s">
        <v>79</v>
      </c>
      <c r="W43" s="113" t="s">
        <v>80</v>
      </c>
      <c r="X43" s="114" t="s">
        <v>81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929"/>
      <c r="D44" s="116">
        <v>585</v>
      </c>
      <c r="E44" s="117">
        <v>585</v>
      </c>
      <c r="F44" s="118">
        <v>0</v>
      </c>
      <c r="G44" s="108"/>
      <c r="H44" s="108"/>
      <c r="I44" s="115"/>
      <c r="J44" s="116">
        <v>585</v>
      </c>
      <c r="K44" s="117">
        <v>585</v>
      </c>
      <c r="L44" s="118">
        <v>0</v>
      </c>
      <c r="M44" s="119"/>
      <c r="N44" s="119"/>
      <c r="O44" s="119"/>
      <c r="P44" s="116">
        <v>292.5</v>
      </c>
      <c r="Q44" s="117">
        <v>292.5</v>
      </c>
      <c r="R44" s="118">
        <v>0</v>
      </c>
      <c r="S44" s="3"/>
      <c r="T44" s="3"/>
      <c r="U44" s="3"/>
      <c r="V44" s="116">
        <v>585</v>
      </c>
      <c r="W44" s="117">
        <v>585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928" t="s">
        <v>82</v>
      </c>
      <c r="D46" s="120" t="s">
        <v>83</v>
      </c>
      <c r="E46" s="121" t="s">
        <v>84</v>
      </c>
      <c r="F46" s="108"/>
      <c r="G46" s="108"/>
      <c r="H46" s="108"/>
      <c r="I46" s="115"/>
      <c r="J46" s="120" t="s">
        <v>83</v>
      </c>
      <c r="K46" s="121" t="s">
        <v>84</v>
      </c>
      <c r="L46" s="122"/>
      <c r="M46" s="122"/>
      <c r="N46" s="109"/>
      <c r="O46" s="109"/>
      <c r="P46" s="120" t="s">
        <v>83</v>
      </c>
      <c r="Q46" s="121" t="s">
        <v>84</v>
      </c>
      <c r="R46" s="109"/>
      <c r="S46" s="109"/>
      <c r="T46" s="109"/>
      <c r="U46" s="109"/>
      <c r="V46" s="120" t="s">
        <v>83</v>
      </c>
      <c r="W46" s="121" t="s">
        <v>84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930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85</v>
      </c>
      <c r="D49" s="127" t="s">
        <v>86</v>
      </c>
      <c r="E49" s="127" t="s">
        <v>87</v>
      </c>
      <c r="F49" s="127" t="s">
        <v>88</v>
      </c>
      <c r="G49" s="127" t="s">
        <v>89</v>
      </c>
      <c r="H49" s="108"/>
      <c r="I49" s="3"/>
      <c r="J49" s="127" t="s">
        <v>86</v>
      </c>
      <c r="K49" s="127" t="s">
        <v>87</v>
      </c>
      <c r="L49" s="127" t="s">
        <v>88</v>
      </c>
      <c r="M49" s="127" t="s">
        <v>90</v>
      </c>
      <c r="N49" s="3"/>
      <c r="O49" s="3"/>
      <c r="P49" s="127" t="s">
        <v>86</v>
      </c>
      <c r="Q49" s="127" t="s">
        <v>87</v>
      </c>
      <c r="R49" s="127" t="s">
        <v>88</v>
      </c>
      <c r="S49" s="127" t="s">
        <v>90</v>
      </c>
      <c r="T49" s="3"/>
      <c r="U49" s="3"/>
      <c r="V49" s="127" t="s">
        <v>92</v>
      </c>
      <c r="W49" s="127" t="s">
        <v>87</v>
      </c>
      <c r="X49" s="127" t="s">
        <v>88</v>
      </c>
      <c r="Y49" s="127" t="s">
        <v>90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>
        <f>D51+D52+D53+D54</f>
        <v>3732.47</v>
      </c>
      <c r="E50" s="129">
        <f>E51+E52+E53+E54</f>
        <v>3271.2</v>
      </c>
      <c r="F50" s="129">
        <f>F51+F52+F53+F54</f>
        <v>2117.6999999999998</v>
      </c>
      <c r="G50" s="130">
        <f>D50+E50-F50</f>
        <v>4885.97</v>
      </c>
      <c r="H50" s="108"/>
      <c r="I50" s="3"/>
      <c r="J50" s="129">
        <v>3626.9000000000005</v>
      </c>
      <c r="K50" s="129">
        <v>2150.6</v>
      </c>
      <c r="L50" s="129">
        <v>3823</v>
      </c>
      <c r="M50" s="129">
        <v>1954.5000000000007</v>
      </c>
      <c r="N50" s="3"/>
      <c r="O50" s="3"/>
      <c r="P50" s="129">
        <f>P51+P52+P53+P54</f>
        <v>4886</v>
      </c>
      <c r="Q50" s="129">
        <f>Q51+Q52+Q53+Q54</f>
        <v>853.7</v>
      </c>
      <c r="R50" s="129">
        <f>R51+R52+R53+R54</f>
        <v>4274.6000000000004</v>
      </c>
      <c r="S50" s="130">
        <f>P50+Q50-R50</f>
        <v>1465.0999999999995</v>
      </c>
      <c r="T50" s="3"/>
      <c r="U50" s="3"/>
      <c r="V50" s="130">
        <f>S50+T50-U50</f>
        <v>1465.0999999999995</v>
      </c>
      <c r="W50" s="129">
        <f>W51+W52+W53+W54</f>
        <v>851.5</v>
      </c>
      <c r="X50" s="129">
        <f>X51+X52+X53+X54</f>
        <v>837</v>
      </c>
      <c r="Y50" s="129">
        <f>Y51+Y52+Y53+Y54</f>
        <v>1479.6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2262.4699999999998</v>
      </c>
      <c r="E51" s="129">
        <v>2513</v>
      </c>
      <c r="F51" s="129">
        <v>1448.9</v>
      </c>
      <c r="G51" s="130">
        <f t="shared" ref="G51:G54" si="22">D51+E51-F51</f>
        <v>3326.5699999999993</v>
      </c>
      <c r="H51" s="108"/>
      <c r="I51" s="3"/>
      <c r="J51" s="130">
        <v>2046.3000000000002</v>
      </c>
      <c r="K51" s="129">
        <v>1386.6</v>
      </c>
      <c r="L51" s="129">
        <v>3160.7</v>
      </c>
      <c r="M51" s="130">
        <v>272.20000000000027</v>
      </c>
      <c r="N51" s="3"/>
      <c r="O51" s="3"/>
      <c r="P51" s="129">
        <v>3326.6</v>
      </c>
      <c r="Q51" s="129">
        <v>100.7</v>
      </c>
      <c r="R51" s="129">
        <v>3088.1</v>
      </c>
      <c r="S51" s="130">
        <f t="shared" ref="S51:S54" si="23">P51+Q51-R51</f>
        <v>339.19999999999982</v>
      </c>
      <c r="T51" s="3"/>
      <c r="U51" s="3"/>
      <c r="V51" s="130">
        <f t="shared" ref="V51:V54" si="24">S51+T51-U51</f>
        <v>339.19999999999982</v>
      </c>
      <c r="W51" s="129">
        <v>70</v>
      </c>
      <c r="X51" s="129">
        <v>0</v>
      </c>
      <c r="Y51" s="130">
        <f t="shared" ref="Y51:Y54" si="25">V51+W51-X51</f>
        <v>409.19999999999982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485.6</v>
      </c>
      <c r="E52" s="129">
        <v>153.4</v>
      </c>
      <c r="F52" s="129">
        <v>0</v>
      </c>
      <c r="G52" s="130">
        <f t="shared" si="22"/>
        <v>639</v>
      </c>
      <c r="H52" s="108"/>
      <c r="I52" s="3"/>
      <c r="J52" s="130">
        <v>639</v>
      </c>
      <c r="K52" s="129">
        <v>153.4</v>
      </c>
      <c r="L52" s="129">
        <v>0</v>
      </c>
      <c r="M52" s="130">
        <v>792.4</v>
      </c>
      <c r="N52" s="3"/>
      <c r="O52" s="3"/>
      <c r="P52" s="129">
        <v>639</v>
      </c>
      <c r="Q52" s="129">
        <v>140.5</v>
      </c>
      <c r="R52" s="129">
        <v>329.5</v>
      </c>
      <c r="S52" s="130">
        <f t="shared" si="23"/>
        <v>450</v>
      </c>
      <c r="T52" s="3"/>
      <c r="U52" s="3"/>
      <c r="V52" s="130">
        <f t="shared" si="24"/>
        <v>450</v>
      </c>
      <c r="W52" s="129">
        <v>130.9</v>
      </c>
      <c r="X52" s="129">
        <v>160</v>
      </c>
      <c r="Y52" s="130">
        <f t="shared" si="25"/>
        <v>420.9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329.9</v>
      </c>
      <c r="E53" s="129">
        <v>13.5</v>
      </c>
      <c r="F53" s="129">
        <v>25.3</v>
      </c>
      <c r="G53" s="130">
        <f t="shared" si="22"/>
        <v>318.09999999999997</v>
      </c>
      <c r="H53" s="108"/>
      <c r="I53" s="3"/>
      <c r="J53" s="130">
        <v>293.39999999999998</v>
      </c>
      <c r="K53" s="129">
        <v>0</v>
      </c>
      <c r="L53" s="129">
        <v>50</v>
      </c>
      <c r="M53" s="130">
        <v>243.39999999999998</v>
      </c>
      <c r="N53" s="3"/>
      <c r="O53" s="3"/>
      <c r="P53" s="129">
        <v>318.10000000000002</v>
      </c>
      <c r="Q53" s="129">
        <v>0</v>
      </c>
      <c r="R53" s="129">
        <v>25</v>
      </c>
      <c r="S53" s="130">
        <f t="shared" si="23"/>
        <v>293.10000000000002</v>
      </c>
      <c r="T53" s="3"/>
      <c r="U53" s="3"/>
      <c r="V53" s="130">
        <f t="shared" si="24"/>
        <v>293.10000000000002</v>
      </c>
      <c r="W53" s="129">
        <v>30</v>
      </c>
      <c r="X53" s="129">
        <v>27</v>
      </c>
      <c r="Y53" s="130">
        <f t="shared" si="25"/>
        <v>296.10000000000002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3" t="s">
        <v>97</v>
      </c>
      <c r="D54" s="129">
        <v>654.5</v>
      </c>
      <c r="E54" s="129">
        <v>591.29999999999995</v>
      </c>
      <c r="F54" s="129">
        <v>643.5</v>
      </c>
      <c r="G54" s="130">
        <f t="shared" si="22"/>
        <v>602.29999999999995</v>
      </c>
      <c r="H54" s="108"/>
      <c r="I54" s="3"/>
      <c r="J54" s="130">
        <v>648.20000000000005</v>
      </c>
      <c r="K54" s="129">
        <v>610.6</v>
      </c>
      <c r="L54" s="129">
        <v>612.29999999999995</v>
      </c>
      <c r="M54" s="130">
        <v>646.50000000000023</v>
      </c>
      <c r="N54" s="3"/>
      <c r="O54" s="3"/>
      <c r="P54" s="129">
        <v>602.29999999999995</v>
      </c>
      <c r="Q54" s="129">
        <v>612.5</v>
      </c>
      <c r="R54" s="129">
        <v>832</v>
      </c>
      <c r="S54" s="130">
        <f t="shared" si="23"/>
        <v>382.79999999999995</v>
      </c>
      <c r="T54" s="3"/>
      <c r="U54" s="3"/>
      <c r="V54" s="130">
        <f t="shared" si="24"/>
        <v>382.79999999999995</v>
      </c>
      <c r="W54" s="129">
        <v>620.6</v>
      </c>
      <c r="X54" s="129">
        <v>650</v>
      </c>
      <c r="Y54" s="130">
        <f t="shared" si="25"/>
        <v>353.4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4">
        <v>59.7</v>
      </c>
      <c r="E57" s="134">
        <v>61.8</v>
      </c>
      <c r="F57" s="108"/>
      <c r="G57" s="108"/>
      <c r="H57" s="108"/>
      <c r="I57" s="115"/>
      <c r="J57" s="134">
        <v>61.8</v>
      </c>
      <c r="K57" s="108"/>
      <c r="L57" s="108"/>
      <c r="M57" s="108"/>
      <c r="N57" s="108"/>
      <c r="O57" s="115"/>
      <c r="P57" s="134">
        <v>63.3</v>
      </c>
      <c r="Q57" s="115"/>
      <c r="R57" s="115"/>
      <c r="S57" s="115"/>
      <c r="T57" s="115"/>
      <c r="U57" s="115"/>
      <c r="V57" s="134">
        <v>63.3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5" t="s">
        <v>103</v>
      </c>
      <c r="C59" s="136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  <c r="O59" s="931"/>
      <c r="P59" s="931"/>
      <c r="Q59" s="931"/>
      <c r="R59" s="931"/>
      <c r="S59" s="931"/>
      <c r="T59" s="931"/>
      <c r="U59" s="931"/>
      <c r="V59" s="137"/>
      <c r="W59" s="137"/>
      <c r="X59" s="137"/>
      <c r="Y59" s="137"/>
      <c r="Z59" s="137"/>
      <c r="AA59" s="137"/>
      <c r="AB59" s="138"/>
      <c r="AC59" s="3"/>
      <c r="AD59" s="3"/>
    </row>
    <row r="60" spans="1:30" x14ac:dyDescent="0.25">
      <c r="A60" s="1"/>
      <c r="B60" s="13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40"/>
      <c r="AC60" s="3"/>
      <c r="AD60" s="3"/>
    </row>
    <row r="61" spans="1:30" ht="15.75" x14ac:dyDescent="0.25">
      <c r="A61" s="1"/>
      <c r="B61" s="965" t="s">
        <v>208</v>
      </c>
      <c r="C61" s="966"/>
      <c r="D61" s="966"/>
      <c r="E61" s="966"/>
      <c r="F61" s="966"/>
      <c r="G61" s="966"/>
      <c r="H61" s="966"/>
      <c r="I61" s="966"/>
      <c r="J61" s="966"/>
      <c r="K61" s="966"/>
      <c r="L61" s="966"/>
      <c r="M61" s="966"/>
      <c r="N61" s="966"/>
      <c r="O61" s="966"/>
      <c r="P61" s="966"/>
      <c r="Q61" s="966"/>
      <c r="R61" s="966"/>
      <c r="S61" s="966"/>
      <c r="T61" s="966"/>
      <c r="U61" s="966"/>
      <c r="V61" s="110"/>
      <c r="W61" s="110"/>
      <c r="X61" s="110"/>
      <c r="Y61" s="110"/>
      <c r="Z61" s="110"/>
      <c r="AA61" s="110"/>
      <c r="AB61" s="140"/>
      <c r="AC61" s="3"/>
      <c r="AD61" s="3"/>
    </row>
    <row r="62" spans="1:30" ht="15.75" x14ac:dyDescent="0.25">
      <c r="A62" s="1"/>
      <c r="B62" s="953" t="s">
        <v>209</v>
      </c>
      <c r="C62" s="954"/>
      <c r="D62" s="954"/>
      <c r="E62" s="954"/>
      <c r="F62" s="954"/>
      <c r="G62" s="954"/>
      <c r="H62" s="954"/>
      <c r="I62" s="954"/>
      <c r="J62" s="954"/>
      <c r="K62" s="954"/>
      <c r="L62" s="954"/>
      <c r="M62" s="954"/>
      <c r="N62" s="954"/>
      <c r="O62" s="954"/>
      <c r="P62" s="954"/>
      <c r="Q62" s="954"/>
      <c r="R62" s="954"/>
      <c r="S62" s="954"/>
      <c r="T62" s="954"/>
      <c r="U62" s="954"/>
      <c r="V62" s="110"/>
      <c r="W62" s="110"/>
      <c r="X62" s="110"/>
      <c r="Y62" s="110"/>
      <c r="Z62" s="110"/>
      <c r="AA62" s="110"/>
      <c r="AB62" s="140"/>
      <c r="AC62" s="3"/>
      <c r="AD62" s="3"/>
    </row>
    <row r="63" spans="1:30" ht="15.75" x14ac:dyDescent="0.25">
      <c r="A63" s="1"/>
      <c r="B63" s="963"/>
      <c r="C63" s="964"/>
      <c r="D63" s="964"/>
      <c r="E63" s="964"/>
      <c r="F63" s="964"/>
      <c r="G63" s="964"/>
      <c r="H63" s="964"/>
      <c r="I63" s="964"/>
      <c r="J63" s="964"/>
      <c r="K63" s="964"/>
      <c r="L63" s="964"/>
      <c r="M63" s="964"/>
      <c r="N63" s="964"/>
      <c r="O63" s="964"/>
      <c r="P63" s="964"/>
      <c r="Q63" s="964"/>
      <c r="R63" s="964"/>
      <c r="S63" s="964"/>
      <c r="T63" s="964"/>
      <c r="U63" s="964"/>
      <c r="V63" s="110"/>
      <c r="W63" s="110"/>
      <c r="X63" s="110"/>
      <c r="Y63" s="110"/>
      <c r="Z63" s="110"/>
      <c r="AA63" s="110"/>
      <c r="AB63" s="140"/>
      <c r="AC63" s="3"/>
      <c r="AD63" s="3"/>
    </row>
    <row r="64" spans="1:30" x14ac:dyDescent="0.25">
      <c r="A64" s="1"/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10"/>
      <c r="W64" s="110"/>
      <c r="X64" s="110"/>
      <c r="Y64" s="110"/>
      <c r="Z64" s="110"/>
      <c r="AA64" s="110"/>
      <c r="AB64" s="140"/>
      <c r="AC64" s="3"/>
      <c r="AD64" s="3"/>
    </row>
    <row r="65" spans="1:30" x14ac:dyDescent="0.25">
      <c r="A65" s="1"/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10"/>
      <c r="W65" s="110"/>
      <c r="X65" s="110"/>
      <c r="Y65" s="110"/>
      <c r="Z65" s="110"/>
      <c r="AA65" s="110"/>
      <c r="AB65" s="140"/>
      <c r="AC65" s="3"/>
      <c r="AD65" s="3"/>
    </row>
    <row r="66" spans="1:30" x14ac:dyDescent="0.25">
      <c r="A66" s="1"/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10"/>
      <c r="W66" s="110"/>
      <c r="X66" s="110"/>
      <c r="Y66" s="110"/>
      <c r="Z66" s="110"/>
      <c r="AA66" s="110"/>
      <c r="AB66" s="140"/>
      <c r="AC66" s="3"/>
      <c r="AD66" s="3"/>
    </row>
    <row r="67" spans="1:30" x14ac:dyDescent="0.25">
      <c r="A67" s="1"/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10"/>
      <c r="W67" s="110"/>
      <c r="X67" s="110"/>
      <c r="Y67" s="110"/>
      <c r="Z67" s="110"/>
      <c r="AA67" s="110"/>
      <c r="AB67" s="140"/>
      <c r="AC67" s="3"/>
      <c r="AD67" s="3"/>
    </row>
    <row r="68" spans="1:30" x14ac:dyDescent="0.25">
      <c r="A68" s="1"/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10"/>
      <c r="W68" s="110"/>
      <c r="X68" s="110"/>
      <c r="Y68" s="110"/>
      <c r="Z68" s="110"/>
      <c r="AA68" s="110"/>
      <c r="AB68" s="140"/>
      <c r="AC68" s="3"/>
      <c r="AD68" s="3"/>
    </row>
    <row r="69" spans="1:30" x14ac:dyDescent="0.25">
      <c r="A69" s="1"/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10"/>
      <c r="W69" s="110"/>
      <c r="X69" s="110"/>
      <c r="Y69" s="110"/>
      <c r="Z69" s="110"/>
      <c r="AA69" s="110"/>
      <c r="AB69" s="140"/>
      <c r="AC69" s="3"/>
      <c r="AD69" s="3"/>
    </row>
    <row r="70" spans="1:30" x14ac:dyDescent="0.25">
      <c r="A70" s="1"/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10"/>
      <c r="W70" s="110"/>
      <c r="X70" s="110"/>
      <c r="Y70" s="110"/>
      <c r="Z70" s="110"/>
      <c r="AA70" s="110"/>
      <c r="AB70" s="140"/>
      <c r="AC70" s="3"/>
      <c r="AD70" s="3"/>
    </row>
    <row r="71" spans="1:30" x14ac:dyDescent="0.25">
      <c r="A71" s="1"/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10"/>
      <c r="W71" s="110"/>
      <c r="X71" s="110"/>
      <c r="Y71" s="110"/>
      <c r="Z71" s="110"/>
      <c r="AA71" s="110"/>
      <c r="AB71" s="140"/>
      <c r="AC71" s="3"/>
      <c r="AD71" s="3"/>
    </row>
    <row r="72" spans="1:30" x14ac:dyDescent="0.25">
      <c r="A72" s="1"/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10"/>
      <c r="W72" s="110"/>
      <c r="X72" s="110"/>
      <c r="Y72" s="110"/>
      <c r="Z72" s="110"/>
      <c r="AA72" s="110"/>
      <c r="AB72" s="140"/>
      <c r="AC72" s="3"/>
      <c r="AD72" s="3"/>
    </row>
    <row r="73" spans="1:30" x14ac:dyDescent="0.25">
      <c r="A73" s="1"/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10"/>
      <c r="W73" s="110"/>
      <c r="X73" s="110"/>
      <c r="Y73" s="110"/>
      <c r="Z73" s="110"/>
      <c r="AA73" s="110"/>
      <c r="AB73" s="140"/>
      <c r="AC73" s="3"/>
      <c r="AD73" s="3"/>
    </row>
    <row r="74" spans="1:30" x14ac:dyDescent="0.25">
      <c r="A74" s="1"/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10"/>
      <c r="W74" s="110"/>
      <c r="X74" s="110"/>
      <c r="Y74" s="110"/>
      <c r="Z74" s="110"/>
      <c r="AA74" s="110"/>
      <c r="AB74" s="140"/>
      <c r="AC74" s="3"/>
      <c r="AD74" s="3"/>
    </row>
    <row r="75" spans="1:30" x14ac:dyDescent="0.25">
      <c r="A75" s="1"/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10"/>
      <c r="W75" s="110"/>
      <c r="X75" s="110"/>
      <c r="Y75" s="110"/>
      <c r="Z75" s="110"/>
      <c r="AA75" s="110"/>
      <c r="AB75" s="140"/>
      <c r="AC75" s="3"/>
      <c r="AD75" s="3"/>
    </row>
    <row r="76" spans="1:30" x14ac:dyDescent="0.25">
      <c r="A76" s="1"/>
      <c r="B76" s="14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10"/>
      <c r="W76" s="110"/>
      <c r="X76" s="110"/>
      <c r="Y76" s="110"/>
      <c r="Z76" s="110"/>
      <c r="AA76" s="110"/>
      <c r="AB76" s="140"/>
      <c r="AC76" s="3"/>
      <c r="AD76" s="3"/>
    </row>
    <row r="77" spans="1:30" x14ac:dyDescent="0.25">
      <c r="A77" s="1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10"/>
      <c r="W77" s="110"/>
      <c r="X77" s="110"/>
      <c r="Y77" s="110"/>
      <c r="Z77" s="110"/>
      <c r="AA77" s="110"/>
      <c r="AB77" s="140"/>
      <c r="AC77" s="3"/>
      <c r="AD77" s="3"/>
    </row>
    <row r="78" spans="1:30" x14ac:dyDescent="0.25">
      <c r="A78" s="1"/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10"/>
      <c r="W78" s="110"/>
      <c r="X78" s="110"/>
      <c r="Y78" s="110"/>
      <c r="Z78" s="110"/>
      <c r="AA78" s="110"/>
      <c r="AB78" s="140"/>
      <c r="AC78" s="3"/>
      <c r="AD78" s="3"/>
    </row>
    <row r="79" spans="1:30" x14ac:dyDescent="0.25">
      <c r="A79" s="1"/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10"/>
      <c r="W79" s="110"/>
      <c r="X79" s="110"/>
      <c r="Y79" s="110"/>
      <c r="Z79" s="110"/>
      <c r="AA79" s="110"/>
      <c r="AB79" s="140"/>
      <c r="AC79" s="3"/>
      <c r="AD79" s="3"/>
    </row>
    <row r="80" spans="1:30" x14ac:dyDescent="0.25">
      <c r="A80" s="1"/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10"/>
      <c r="W80" s="110"/>
      <c r="X80" s="110"/>
      <c r="Y80" s="110"/>
      <c r="Z80" s="110"/>
      <c r="AA80" s="110"/>
      <c r="AB80" s="140"/>
      <c r="AC80" s="3"/>
      <c r="AD80" s="3"/>
    </row>
    <row r="81" spans="1:30" x14ac:dyDescent="0.25">
      <c r="A81" s="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10"/>
      <c r="W81" s="110"/>
      <c r="X81" s="110"/>
      <c r="Y81" s="110"/>
      <c r="Z81" s="110"/>
      <c r="AA81" s="110"/>
      <c r="AB81" s="140"/>
      <c r="AC81" s="3"/>
      <c r="AD81" s="3"/>
    </row>
    <row r="82" spans="1:30" x14ac:dyDescent="0.25">
      <c r="A82" s="1"/>
      <c r="B82" s="925"/>
      <c r="C82" s="921"/>
      <c r="D82" s="921"/>
      <c r="E82" s="921"/>
      <c r="F82" s="921"/>
      <c r="G82" s="921"/>
      <c r="H82" s="921"/>
      <c r="I82" s="921"/>
      <c r="J82" s="921"/>
      <c r="K82" s="921"/>
      <c r="L82" s="921"/>
      <c r="M82" s="921"/>
      <c r="N82" s="921"/>
      <c r="O82" s="921"/>
      <c r="P82" s="921"/>
      <c r="Q82" s="921"/>
      <c r="R82" s="921"/>
      <c r="S82" s="921"/>
      <c r="T82" s="921"/>
      <c r="U82" s="921"/>
      <c r="V82" s="110"/>
      <c r="W82" s="110"/>
      <c r="X82" s="110"/>
      <c r="Y82" s="110"/>
      <c r="Z82" s="110"/>
      <c r="AA82" s="110"/>
      <c r="AB82" s="140"/>
      <c r="AC82" s="3"/>
      <c r="AD82" s="3"/>
    </row>
    <row r="83" spans="1:30" x14ac:dyDescent="0.25">
      <c r="A83" s="1"/>
      <c r="B83" s="143"/>
      <c r="C83" s="162"/>
      <c r="D83" s="162"/>
      <c r="E83" s="16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10"/>
      <c r="W83" s="110"/>
      <c r="X83" s="110"/>
      <c r="Y83" s="110"/>
      <c r="Z83" s="110"/>
      <c r="AA83" s="110"/>
      <c r="AB83" s="140"/>
      <c r="AC83" s="3"/>
      <c r="AD83" s="3"/>
    </row>
    <row r="84" spans="1:30" x14ac:dyDescent="0.25">
      <c r="A84" s="1"/>
      <c r="B84" s="161"/>
      <c r="C84" s="160"/>
      <c r="D84" s="145"/>
      <c r="E84" s="145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10"/>
      <c r="W84" s="110"/>
      <c r="X84" s="110"/>
      <c r="Y84" s="110"/>
      <c r="Z84" s="110"/>
      <c r="AA84" s="110"/>
      <c r="AB84" s="140"/>
      <c r="AC84" s="3"/>
      <c r="AD84" s="3"/>
    </row>
    <row r="85" spans="1:30" x14ac:dyDescent="0.25">
      <c r="A85" s="1"/>
      <c r="B85" s="143"/>
      <c r="C85" s="144"/>
      <c r="D85" s="145"/>
      <c r="E85" s="145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10"/>
      <c r="W85" s="110"/>
      <c r="X85" s="110"/>
      <c r="Y85" s="110"/>
      <c r="Z85" s="110"/>
      <c r="AA85" s="110"/>
      <c r="AB85" s="140"/>
      <c r="AC85" s="3"/>
      <c r="AD85" s="3"/>
    </row>
    <row r="86" spans="1:30" x14ac:dyDescent="0.25">
      <c r="A86" s="1"/>
      <c r="B86" s="143"/>
      <c r="C86" s="144"/>
      <c r="D86" s="145"/>
      <c r="E86" s="145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10"/>
      <c r="W86" s="110"/>
      <c r="X86" s="110"/>
      <c r="Y86" s="110"/>
      <c r="Z86" s="110"/>
      <c r="AA86" s="110"/>
      <c r="AB86" s="140"/>
      <c r="AC86" s="3"/>
      <c r="AD86" s="3"/>
    </row>
    <row r="87" spans="1:30" x14ac:dyDescent="0.25">
      <c r="A87" s="1"/>
      <c r="B87" s="146"/>
      <c r="C87" s="147"/>
      <c r="D87" s="148"/>
      <c r="E87" s="148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50"/>
      <c r="W87" s="150"/>
      <c r="X87" s="150"/>
      <c r="Y87" s="150"/>
      <c r="Z87" s="150"/>
      <c r="AA87" s="150"/>
      <c r="AB87" s="151"/>
      <c r="AC87" s="3"/>
      <c r="AD87" s="3"/>
    </row>
    <row r="88" spans="1:30" x14ac:dyDescent="0.25">
      <c r="A88" s="104"/>
      <c r="B88" s="152"/>
      <c r="C88" s="153"/>
      <c r="D88" s="152"/>
      <c r="E88" s="152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2"/>
      <c r="C89" s="153"/>
      <c r="D89" s="152"/>
      <c r="E89" s="152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5" t="s">
        <v>109</v>
      </c>
      <c r="C91" s="156">
        <v>44853</v>
      </c>
      <c r="D91" s="155" t="s">
        <v>110</v>
      </c>
      <c r="E91" s="921" t="s">
        <v>210</v>
      </c>
      <c r="F91" s="921"/>
      <c r="G91" s="921"/>
      <c r="H91" s="155"/>
      <c r="I91" s="155" t="s">
        <v>112</v>
      </c>
      <c r="J91" s="922" t="s">
        <v>211</v>
      </c>
      <c r="K91" s="922"/>
      <c r="L91" s="922"/>
      <c r="M91" s="922"/>
      <c r="N91" s="155"/>
      <c r="O91" s="155"/>
      <c r="P91" s="155"/>
      <c r="Q91" s="155"/>
      <c r="R91" s="155"/>
      <c r="S91" s="155"/>
      <c r="T91" s="155"/>
      <c r="U91" s="155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5"/>
      <c r="C93" s="155"/>
      <c r="D93" s="155" t="s">
        <v>114</v>
      </c>
      <c r="E93" s="157"/>
      <c r="F93" s="157"/>
      <c r="G93" s="157"/>
      <c r="H93" s="155"/>
      <c r="I93" s="155" t="s">
        <v>114</v>
      </c>
      <c r="J93" s="158"/>
      <c r="K93" s="158"/>
      <c r="L93" s="158"/>
      <c r="M93" s="158"/>
      <c r="N93" s="155"/>
      <c r="O93" s="155"/>
      <c r="P93" s="155"/>
      <c r="Q93" s="155"/>
      <c r="R93" s="155"/>
      <c r="S93" s="155"/>
      <c r="T93" s="155"/>
      <c r="U93" s="155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5"/>
      <c r="C94" s="155"/>
      <c r="D94" s="155"/>
      <c r="E94" s="157"/>
      <c r="F94" s="157"/>
      <c r="G94" s="157"/>
      <c r="H94" s="155"/>
      <c r="I94" s="155"/>
      <c r="J94" s="158"/>
      <c r="K94" s="158"/>
      <c r="L94" s="158"/>
      <c r="M94" s="158"/>
      <c r="N94" s="155"/>
      <c r="O94" s="155"/>
      <c r="P94" s="155"/>
      <c r="Q94" s="155"/>
      <c r="R94" s="155"/>
      <c r="S94" s="155"/>
      <c r="T94" s="155"/>
      <c r="U94" s="155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39" priority="3" operator="equal">
      <formula>0</formula>
    </cfRule>
    <cfRule type="containsErrors" dxfId="38" priority="4">
      <formula>ISERROR(AB15)</formula>
    </cfRule>
  </conditionalFormatting>
  <conditionalFormatting sqref="AB28:AB41">
    <cfRule type="cellIs" dxfId="37" priority="1" operator="equal">
      <formula>0</formula>
    </cfRule>
    <cfRule type="containsErrors" dxfId="36" priority="2">
      <formula>ISERROR(AB28)</formula>
    </cfRule>
  </conditionalFormatting>
  <pageMargins left="0" right="0" top="0.78740157480314965" bottom="0.78740157480314965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17</vt:i4>
      </vt:variant>
    </vt:vector>
  </HeadingPairs>
  <TitlesOfParts>
    <vt:vector size="35" baseType="lpstr">
      <vt:lpstr>CHK</vt:lpstr>
      <vt:lpstr>MěLe</vt:lpstr>
      <vt:lpstr>SOS</vt:lpstr>
      <vt:lpstr>TSmCh</vt:lpstr>
      <vt:lpstr>ZOO</vt:lpstr>
      <vt:lpstr>ZŠ Zahr.</vt:lpstr>
      <vt:lpstr>ZŠ Na Přík.</vt:lpstr>
      <vt:lpstr>ZŠ Kadaň,</vt:lpstr>
      <vt:lpstr>ZŠ Píseč.</vt:lpstr>
      <vt:lpstr>ZŠ Horn.</vt:lpstr>
      <vt:lpstr>ZŠ Škol.</vt:lpstr>
      <vt:lpstr>ZŠ Ak. Heyrov.</vt:lpstr>
      <vt:lpstr>ZŠ Březen.</vt:lpstr>
      <vt:lpstr>ZŠaMŠ 17. List.</vt:lpstr>
      <vt:lpstr>ZŠSaMŠ Palach.</vt:lpstr>
      <vt:lpstr>MŠ</vt:lpstr>
      <vt:lpstr>ZUŠ</vt:lpstr>
      <vt:lpstr>SVČ Domeč.</vt:lpstr>
      <vt:lpstr>CHK!Oblast_tisku</vt:lpstr>
      <vt:lpstr>MěLe!Oblast_tisku</vt:lpstr>
      <vt:lpstr>MŠ!Oblast_tisku</vt:lpstr>
      <vt:lpstr>SOS!Oblast_tisku</vt:lpstr>
      <vt:lpstr>'SVČ Domeč.'!Oblast_tisku</vt:lpstr>
      <vt:lpstr>TSmCh!Oblast_tisku</vt:lpstr>
      <vt:lpstr>ZOO!Oblast_tisku</vt:lpstr>
      <vt:lpstr>'ZŠ Ak. Heyrov.'!Oblast_tisku</vt:lpstr>
      <vt:lpstr>'ZŠ Březen.'!Oblast_tisku</vt:lpstr>
      <vt:lpstr>'ZŠ Horn.'!Oblast_tisku</vt:lpstr>
      <vt:lpstr>'ZŠ Kadaň,'!Oblast_tisku</vt:lpstr>
      <vt:lpstr>'ZŠ Na Přík.'!Oblast_tisku</vt:lpstr>
      <vt:lpstr>'ZŠ Píseč.'!Oblast_tisku</vt:lpstr>
      <vt:lpstr>'ZŠ Škol.'!Oblast_tisku</vt:lpstr>
      <vt:lpstr>'ZŠaMŠ 17. List.'!Oblast_tisku</vt:lpstr>
      <vt:lpstr>'ZŠSaMŠ Palach.'!Oblast_tisku</vt:lpstr>
      <vt:lpstr>ZUŠ!Oblast_tisku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2022-11-14T09:12:05Z</dcterms:created>
  <dcterms:modified xsi:type="dcterms:W3CDTF">2022-11-14T09:33:43Z</dcterms:modified>
</cp:coreProperties>
</file>