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435"/>
  </bookViews>
  <sheets>
    <sheet name="RUD CV 2020" sheetId="2" r:id="rId1"/>
    <sheet name="Zdroj" sheetId="1" state="hidden" r:id="rId2"/>
  </sheets>
  <definedNames>
    <definedName name="Print_Titles" localSheetId="1">Zdroj!#REF!</definedName>
  </definedNames>
  <calcPr calcId="162913"/>
</workbook>
</file>

<file path=xl/calcChain.xml><?xml version="1.0" encoding="utf-8"?>
<calcChain xmlns="http://schemas.openxmlformats.org/spreadsheetml/2006/main">
  <c r="N33" i="2" l="1"/>
  <c r="N34" i="2"/>
  <c r="O34" i="2"/>
  <c r="O33" i="2"/>
  <c r="L23" i="2"/>
  <c r="K23" i="2"/>
  <c r="O20" i="2" l="1"/>
  <c r="K17" i="2"/>
  <c r="K16" i="2" l="1"/>
  <c r="D35" i="2" l="1"/>
  <c r="J33" i="2" l="1"/>
  <c r="D28" i="2"/>
  <c r="C4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H4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D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H28" i="2" l="1"/>
  <c r="I28" i="2"/>
  <c r="J28" i="2"/>
  <c r="E28" i="2"/>
  <c r="F28" i="2"/>
  <c r="G28" i="2"/>
  <c r="C43" i="1"/>
  <c r="K19" i="2" l="1"/>
  <c r="K18" i="2" l="1"/>
  <c r="K33" i="2" l="1"/>
  <c r="D27" i="2" l="1"/>
  <c r="C44" i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D43" i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E43" i="1"/>
  <c r="F43" i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G43" i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H43" i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I43" i="1"/>
  <c r="D29" i="2" l="1"/>
  <c r="E44" i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I44" i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F27" i="2"/>
  <c r="G27" i="2"/>
  <c r="H27" i="2"/>
  <c r="I27" i="2"/>
  <c r="J27" i="2"/>
  <c r="D80" i="1"/>
  <c r="D81" i="1" s="1"/>
  <c r="E80" i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F80" i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G80" i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H80" i="1"/>
  <c r="I80" i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J81" i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C80" i="1"/>
  <c r="C81" i="1" s="1"/>
  <c r="H81" i="1" l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C82" i="1"/>
  <c r="C83" i="1" s="1"/>
  <c r="C84" i="1" s="1"/>
  <c r="C85" i="1" s="1"/>
  <c r="C86" i="1" s="1"/>
  <c r="C87" i="1" s="1"/>
  <c r="C88" i="1" s="1"/>
  <c r="C89" i="1" s="1"/>
  <c r="C90" i="1" s="1"/>
  <c r="C91" i="1" s="1"/>
  <c r="K98" i="1"/>
  <c r="K99" i="1"/>
  <c r="K100" i="1"/>
  <c r="K101" i="1"/>
  <c r="K102" i="1"/>
  <c r="K103" i="1"/>
  <c r="K104" i="1"/>
  <c r="K105" i="1"/>
  <c r="K106" i="1"/>
  <c r="K107" i="1"/>
  <c r="K108" i="1"/>
  <c r="K109" i="1"/>
  <c r="K15" i="2"/>
  <c r="K14" i="2"/>
  <c r="K13" i="2"/>
  <c r="K12" i="2"/>
  <c r="K11" i="2"/>
  <c r="K10" i="2"/>
  <c r="K9" i="2"/>
  <c r="K8" i="2"/>
  <c r="E20" i="2"/>
  <c r="F20" i="2"/>
  <c r="G20" i="2"/>
  <c r="H20" i="2"/>
  <c r="I20" i="2"/>
  <c r="J20" i="2"/>
  <c r="D20" i="2"/>
  <c r="D23" i="2" l="1"/>
  <c r="K20" i="2"/>
  <c r="J36" i="2"/>
  <c r="K34" i="2"/>
  <c r="E24" i="2"/>
  <c r="E25" i="2" s="1"/>
  <c r="F24" i="2"/>
  <c r="F25" i="2" s="1"/>
  <c r="G24" i="2"/>
  <c r="G25" i="2" s="1"/>
  <c r="H24" i="2"/>
  <c r="H25" i="2" s="1"/>
  <c r="I24" i="2"/>
  <c r="I25" i="2" s="1"/>
  <c r="J24" i="2"/>
  <c r="J25" i="2" s="1"/>
  <c r="D24" i="2"/>
  <c r="D25" i="2" s="1"/>
  <c r="E23" i="2"/>
  <c r="F23" i="2"/>
  <c r="G23" i="2"/>
  <c r="H23" i="2"/>
  <c r="J23" i="2"/>
  <c r="K22" i="2"/>
  <c r="E27" i="2"/>
  <c r="K26" i="2" l="1"/>
  <c r="K27" i="2"/>
  <c r="K25" i="2"/>
  <c r="K24" i="2"/>
  <c r="M146" i="1" l="1"/>
  <c r="E123" i="1" s="1"/>
  <c r="D123" i="1" s="1"/>
  <c r="L146" i="1"/>
  <c r="C125" i="1" s="1"/>
  <c r="I125" i="1" s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J97" i="1"/>
  <c r="I96" i="1"/>
  <c r="H96" i="1"/>
  <c r="G96" i="1"/>
  <c r="F96" i="1"/>
  <c r="E96" i="1"/>
  <c r="D96" i="1"/>
  <c r="C96" i="1"/>
  <c r="K36" i="2"/>
  <c r="J34" i="2"/>
  <c r="K35" i="2"/>
  <c r="D30" i="2"/>
  <c r="K21" i="2"/>
  <c r="D34" i="2" s="1"/>
  <c r="W12" i="2"/>
  <c r="X12" i="2" s="1"/>
  <c r="W11" i="2"/>
  <c r="X11" i="2" s="1"/>
  <c r="W9" i="2"/>
  <c r="X9" i="2" s="1"/>
  <c r="W8" i="2"/>
  <c r="X8" i="2" s="1"/>
  <c r="E115" i="1" l="1"/>
  <c r="D115" i="1" s="1"/>
  <c r="E117" i="1"/>
  <c r="D117" i="1" s="1"/>
  <c r="E120" i="1"/>
  <c r="D120" i="1" s="1"/>
  <c r="E122" i="1"/>
  <c r="D122" i="1" s="1"/>
  <c r="C114" i="1"/>
  <c r="I114" i="1" s="1"/>
  <c r="C119" i="1"/>
  <c r="I119" i="1" s="1"/>
  <c r="X10" i="2"/>
  <c r="E125" i="1"/>
  <c r="D125" i="1" s="1"/>
  <c r="E119" i="1"/>
  <c r="D119" i="1" s="1"/>
  <c r="C116" i="1"/>
  <c r="I116" i="1" s="1"/>
  <c r="C118" i="1"/>
  <c r="I118" i="1" s="1"/>
  <c r="C121" i="1"/>
  <c r="I121" i="1" s="1"/>
  <c r="C126" i="1"/>
  <c r="I126" i="1" s="1"/>
  <c r="E114" i="1"/>
  <c r="D114" i="1" s="1"/>
  <c r="E116" i="1"/>
  <c r="D116" i="1" s="1"/>
  <c r="E118" i="1"/>
  <c r="D118" i="1" s="1"/>
  <c r="E121" i="1"/>
  <c r="D121" i="1" s="1"/>
  <c r="C123" i="1"/>
  <c r="I123" i="1" s="1"/>
  <c r="E124" i="1"/>
  <c r="D124" i="1" s="1"/>
  <c r="E126" i="1"/>
  <c r="D126" i="1" s="1"/>
  <c r="C124" i="1"/>
  <c r="I124" i="1" s="1"/>
  <c r="C115" i="1"/>
  <c r="I115" i="1" s="1"/>
  <c r="C117" i="1"/>
  <c r="I117" i="1" s="1"/>
  <c r="C120" i="1"/>
  <c r="I120" i="1" s="1"/>
  <c r="C122" i="1"/>
  <c r="I122" i="1" s="1"/>
  <c r="K97" i="1"/>
  <c r="J37" i="2"/>
  <c r="J38" i="2" s="1"/>
  <c r="G29" i="2"/>
  <c r="G30" i="2"/>
  <c r="H29" i="2"/>
  <c r="H30" i="2"/>
  <c r="E30" i="2"/>
  <c r="E29" i="2"/>
  <c r="I30" i="2"/>
  <c r="I29" i="2"/>
  <c r="F29" i="2"/>
  <c r="F30" i="2"/>
  <c r="J29" i="2"/>
  <c r="J30" i="2"/>
  <c r="J35" i="2"/>
  <c r="X13" i="2"/>
  <c r="K28" i="2"/>
  <c r="K30" i="2" l="1"/>
  <c r="K29" i="2"/>
</calcChain>
</file>

<file path=xl/sharedStrings.xml><?xml version="1.0" encoding="utf-8"?>
<sst xmlns="http://schemas.openxmlformats.org/spreadsheetml/2006/main" count="450" uniqueCount="179">
  <si>
    <t>Pol</t>
  </si>
  <si>
    <t>Zkratka položky</t>
  </si>
  <si>
    <t>1111</t>
  </si>
  <si>
    <t>Daň z příjmů FO závislá čin. a požitky</t>
  </si>
  <si>
    <t>1112</t>
  </si>
  <si>
    <t>Daň z příjmů OSVČ</t>
  </si>
  <si>
    <t>DPH</t>
  </si>
  <si>
    <t>Upravený rozpočet</t>
  </si>
  <si>
    <t>Příjmy tř. 1</t>
  </si>
  <si>
    <t>karta PPR</t>
  </si>
  <si>
    <t>103/123</t>
  </si>
  <si>
    <t>103/126</t>
  </si>
  <si>
    <t>103/125</t>
  </si>
  <si>
    <t>103/12</t>
  </si>
  <si>
    <t>103/14</t>
  </si>
  <si>
    <t>103/13</t>
  </si>
  <si>
    <t>103/124</t>
  </si>
  <si>
    <t>103/16</t>
  </si>
  <si>
    <t>v tis. Kč/položka</t>
  </si>
  <si>
    <t>pol. 1111</t>
  </si>
  <si>
    <t>pol. 1112</t>
  </si>
  <si>
    <t>pol. 1113</t>
  </si>
  <si>
    <t>pol. 1121</t>
  </si>
  <si>
    <t>pol. 1211</t>
  </si>
  <si>
    <t>pol. 1511</t>
  </si>
  <si>
    <t>číslo řádku</t>
  </si>
  <si>
    <t>ř. 1a</t>
  </si>
  <si>
    <t>ř. 3</t>
  </si>
  <si>
    <t>ř. 2</t>
  </si>
  <si>
    <t>ř. 4</t>
  </si>
  <si>
    <t>ř. 6</t>
  </si>
  <si>
    <t>ř. 5</t>
  </si>
  <si>
    <t>ř. 1 b</t>
  </si>
  <si>
    <t>ř. 20</t>
  </si>
  <si>
    <t>Měsíc</t>
  </si>
  <si>
    <t>DP FO ZČ</t>
  </si>
  <si>
    <t>DPFO</t>
  </si>
  <si>
    <t>DPFO - 30%</t>
  </si>
  <si>
    <t>DPFO-srážka</t>
  </si>
  <si>
    <t>DPPO</t>
  </si>
  <si>
    <t>DPFO 1,5%</t>
  </si>
  <si>
    <t>Daň z nemovitosti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</si>
  <si>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</si>
  <si>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</si>
  <si>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</si>
  <si>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</si>
  <si>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</si>
  <si>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</si>
  <si>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</si>
  <si>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</si>
  <si>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 xml:space="preserve">Srpen </t>
  </si>
  <si>
    <t>Září</t>
  </si>
  <si>
    <t>Říjen</t>
  </si>
  <si>
    <t>Listopad</t>
  </si>
  <si>
    <t>Prosinec</t>
  </si>
  <si>
    <t>% plnění</t>
  </si>
  <si>
    <t xml:space="preserve">Rozdíl SK-PL </t>
  </si>
  <si>
    <t>tis. Kč</t>
  </si>
  <si>
    <t>Rozdíl = UR-SR</t>
  </si>
  <si>
    <t>CELKEM</t>
  </si>
  <si>
    <t xml:space="preserve">SK </t>
  </si>
  <si>
    <t>SK daní celkem</t>
  </si>
  <si>
    <t>Rekapitulace meziměsíční změny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</si>
  <si>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</si>
  <si>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</si>
  <si>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</si>
  <si>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</si>
  <si>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</si>
  <si>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</si>
  <si>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</si>
  <si>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</si>
  <si>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</si>
  <si>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</si>
  <si>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</si>
  <si>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</si>
  <si>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Daňový příjem</t>
  </si>
  <si>
    <t>SR 2016 (mld.)</t>
  </si>
  <si>
    <t xml:space="preserve"> město (mil.)</t>
  </si>
  <si>
    <t>DPFO zč -1111</t>
  </si>
  <si>
    <t>Motivační DPFOzč.(1,5%)</t>
  </si>
  <si>
    <t>DPFO zč -1111 vč. motiv</t>
  </si>
  <si>
    <t>DPFO sč - 1112 - 23,58%</t>
  </si>
  <si>
    <t>DPFO sč - 1112 -30%</t>
  </si>
  <si>
    <t>DPFO sč - 1112</t>
  </si>
  <si>
    <t>DPFO vyb. srážkou 1113</t>
  </si>
  <si>
    <t>DPPO - 1121</t>
  </si>
  <si>
    <t>DPH - 1211</t>
  </si>
  <si>
    <t>Stav ke dni:</t>
  </si>
  <si>
    <t>DPFO - srážka</t>
  </si>
  <si>
    <t>sdílené daně</t>
  </si>
  <si>
    <t>výlučné daně</t>
  </si>
  <si>
    <t>SK 01/2015</t>
  </si>
  <si>
    <t>SK 03/2015</t>
  </si>
  <si>
    <t>SK 02/2015</t>
  </si>
  <si>
    <t>SK 04/2015</t>
  </si>
  <si>
    <t>SK 05/2015</t>
  </si>
  <si>
    <t>SK 06/2015</t>
  </si>
  <si>
    <t>SK 07/2015</t>
  </si>
  <si>
    <t>SK 08/2015</t>
  </si>
  <si>
    <t>SK 09/2015</t>
  </si>
  <si>
    <t>SK 10/2015</t>
  </si>
  <si>
    <t>SK 11/2015</t>
  </si>
  <si>
    <t>SK 12/2015</t>
  </si>
  <si>
    <t>Plán k datu (PL) = x/12</t>
  </si>
  <si>
    <t>x/12</t>
  </si>
  <si>
    <t>Ing. Jan Mareš</t>
  </si>
  <si>
    <t>vedoucí odboru ekonomiky</t>
  </si>
  <si>
    <t>SK 01/2016</t>
  </si>
  <si>
    <t>SK 02/2016</t>
  </si>
  <si>
    <t>SK 03/2016</t>
  </si>
  <si>
    <t>SK 04/2016</t>
  </si>
  <si>
    <t>SK 05/2016</t>
  </si>
  <si>
    <t>SK 06/2016</t>
  </si>
  <si>
    <t>SK 07/2016</t>
  </si>
  <si>
    <t>SK 08/2016</t>
  </si>
  <si>
    <t>SK 09/2016</t>
  </si>
  <si>
    <t>SK 10/2016</t>
  </si>
  <si>
    <t>SK 11/2016</t>
  </si>
  <si>
    <t>SK 12/2016</t>
  </si>
  <si>
    <t xml:space="preserve">Zpracováno dne: </t>
  </si>
  <si>
    <t>SK 01/2017</t>
  </si>
  <si>
    <t>SK 02/2017</t>
  </si>
  <si>
    <t>SK 03/2017</t>
  </si>
  <si>
    <t>SK 04/2017</t>
  </si>
  <si>
    <t>SK 05/2017</t>
  </si>
  <si>
    <t>SK 06/2017</t>
  </si>
  <si>
    <t>SK 07/2017</t>
  </si>
  <si>
    <t>SK 08/2017</t>
  </si>
  <si>
    <t>SK 09/2017</t>
  </si>
  <si>
    <t>SK 10/2017</t>
  </si>
  <si>
    <t>SK 11/2017</t>
  </si>
  <si>
    <t>SK 12/2017</t>
  </si>
  <si>
    <t>ndf</t>
  </si>
  <si>
    <t>pozn. pol. 1111 rozpočtováno dohromady s 103/123</t>
  </si>
  <si>
    <t>kumulace</t>
  </si>
  <si>
    <t>Nesdílené daně</t>
  </si>
  <si>
    <t>Daň z příjmu právnických osob</t>
  </si>
  <si>
    <t>za obce (pol. 1122)</t>
  </si>
  <si>
    <t>Daň z hazardu (pol. 1381)</t>
  </si>
  <si>
    <t>Výlučná daň</t>
  </si>
  <si>
    <t>(město platí samo sobě)</t>
  </si>
  <si>
    <t>UR 2019</t>
  </si>
  <si>
    <t>SK 01/2018</t>
  </si>
  <si>
    <t>SK 02/2018</t>
  </si>
  <si>
    <t>SK 03/2018</t>
  </si>
  <si>
    <t>SK 04/2018</t>
  </si>
  <si>
    <t>SK 05/2018</t>
  </si>
  <si>
    <t>SK 06/2018</t>
  </si>
  <si>
    <t>SK 07/2018</t>
  </si>
  <si>
    <t>SK 08/2018</t>
  </si>
  <si>
    <t>SK 09/2018</t>
  </si>
  <si>
    <t>SK 10/2018</t>
  </si>
  <si>
    <t>SK 11/2018</t>
  </si>
  <si>
    <t>SK 12/2018</t>
  </si>
  <si>
    <t>pol</t>
  </si>
  <si>
    <t>SK 01/2019</t>
  </si>
  <si>
    <t>SK 02/2019</t>
  </si>
  <si>
    <t>SK 12/2019</t>
  </si>
  <si>
    <t>Přehled o plnění vybraných daní v roce 2020</t>
  </si>
  <si>
    <t>(pořadová čísla k tabulce "Příjmová část rozpočtu roku 2020 - MMCH)</t>
  </si>
  <si>
    <t>SR 2020</t>
  </si>
  <si>
    <t>UR 2020</t>
  </si>
  <si>
    <t>SK 2020 - SK 2019</t>
  </si>
  <si>
    <t>SK 03/2019</t>
  </si>
  <si>
    <t>SK 04/2019</t>
  </si>
  <si>
    <t>SK 05/2019</t>
  </si>
  <si>
    <t>SK 06/2019</t>
  </si>
  <si>
    <t>SK 07/2019</t>
  </si>
  <si>
    <t>SK 08/2019</t>
  </si>
  <si>
    <t>SK 09/2019</t>
  </si>
  <si>
    <t>SK 10/2019</t>
  </si>
  <si>
    <t>SK 11/2019</t>
  </si>
  <si>
    <t>Meziroční změna                 2020-2019 v mil. Kč</t>
  </si>
  <si>
    <r>
      <rPr>
        <sz val="7"/>
        <rFont val="Calibri"/>
        <family val="2"/>
        <charset val="238"/>
        <scheme val="minor"/>
      </rPr>
      <t xml:space="preserve">Poznámka:                                                              </t>
    </r>
    <r>
      <rPr>
        <b/>
        <sz val="7"/>
        <color rgb="FFC00000"/>
        <rFont val="Calibri"/>
        <family val="2"/>
        <charset val="238"/>
        <scheme val="minor"/>
      </rPr>
      <t>COVID-19 - snížení objemu upraveného rozpočtu daňových příjmů o:</t>
    </r>
  </si>
  <si>
    <t>ZM 14.9.2020</t>
  </si>
  <si>
    <t>ZM 15.6.2020</t>
  </si>
  <si>
    <t>Plnění sdílených daní</t>
  </si>
  <si>
    <t xml:space="preserve">vůči schválenému rozpočtu </t>
  </si>
  <si>
    <r>
      <t xml:space="preserve">vůči upravenému rozpočtu </t>
    </r>
    <r>
      <rPr>
        <sz val="9.75"/>
        <color rgb="FFC00000"/>
        <rFont val="Calibri"/>
        <family val="2"/>
        <charset val="238"/>
        <scheme val="minor"/>
      </rPr>
      <t>(C-19)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</si>
</sst>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yyyy"/>
    <numFmt numFmtId="165" formatCode="0.00_ ;[Red]\-0.00\ "/>
  </numFmts>
  <fonts count="42" x14ac:knownFonts="1">
    <font>
      <sz val="9.75"/>
      <name val="Times New Roman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.75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.75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.75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C00000"/>
      <name val="Wingdings"/>
      <charset val="2"/>
    </font>
    <font>
      <b/>
      <sz val="11"/>
      <color rgb="FFC00000"/>
      <name val="Wingdings"/>
      <charset val="2"/>
    </font>
    <font>
      <sz val="11"/>
      <color rgb="FFC00000"/>
      <name val="Wingdings"/>
      <charset val="2"/>
    </font>
    <font>
      <i/>
      <sz val="6"/>
      <color theme="7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sz val="11"/>
      <color rgb="FF00B050"/>
      <name val="Wingdings"/>
      <charset val="2"/>
    </font>
    <font>
      <sz val="9"/>
      <color rgb="FFC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9" fillId="0" borderId="0"/>
    <xf numFmtId="9" fontId="36" fillId="0" borderId="0" applyFont="0" applyFill="0" applyBorder="0" applyAlignment="0" applyProtection="0"/>
  </cellStyleXfs>
  <cellXfs count="245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6" fillId="7" borderId="11" xfId="0" applyFont="1" applyFill="1" applyBorder="1" applyAlignment="1">
      <alignment horizontal="left" indent="1"/>
    </xf>
    <xf numFmtId="4" fontId="6" fillId="6" borderId="2" xfId="0" applyNumberFormat="1" applyFont="1" applyFill="1" applyBorder="1" applyAlignment="1">
      <alignment horizontal="right"/>
    </xf>
    <xf numFmtId="0" fontId="6" fillId="0" borderId="25" xfId="0" applyFont="1" applyBorder="1" applyAlignment="1">
      <alignment horizontal="left" indent="1"/>
    </xf>
    <xf numFmtId="4" fontId="2" fillId="8" borderId="26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8" fillId="0" borderId="0" xfId="0" applyNumberFormat="1" applyFont="1"/>
    <xf numFmtId="0" fontId="8" fillId="0" borderId="0" xfId="0" applyFont="1"/>
    <xf numFmtId="10" fontId="2" fillId="0" borderId="0" xfId="0" applyNumberFormat="1" applyFont="1"/>
    <xf numFmtId="4" fontId="2" fillId="6" borderId="16" xfId="0" applyNumberFormat="1" applyFont="1" applyFill="1" applyBorder="1" applyAlignment="1">
      <alignment horizontal="right"/>
    </xf>
    <xf numFmtId="0" fontId="6" fillId="6" borderId="28" xfId="0" applyFont="1" applyFill="1" applyBorder="1" applyAlignment="1">
      <alignment horizontal="left" indent="1"/>
    </xf>
    <xf numFmtId="4" fontId="2" fillId="6" borderId="29" xfId="0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left" indent="1"/>
    </xf>
    <xf numFmtId="0" fontId="6" fillId="7" borderId="14" xfId="0" applyFont="1" applyFill="1" applyBorder="1" applyAlignment="1">
      <alignment horizontal="left" indent="1"/>
    </xf>
    <xf numFmtId="4" fontId="6" fillId="7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13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2" fillId="0" borderId="0" xfId="0" applyFont="1" applyProtection="1"/>
    <xf numFmtId="0" fontId="13" fillId="0" borderId="0" xfId="0" applyFont="1" applyProtection="1"/>
    <xf numFmtId="10" fontId="12" fillId="0" borderId="0" xfId="0" applyNumberFormat="1" applyFont="1" applyProtection="1"/>
    <xf numFmtId="0" fontId="14" fillId="10" borderId="34" xfId="1" applyFont="1" applyFill="1" applyBorder="1"/>
    <xf numFmtId="0" fontId="14" fillId="10" borderId="3" xfId="1" applyFont="1" applyFill="1" applyBorder="1" applyAlignment="1">
      <alignment horizontal="center"/>
    </xf>
    <xf numFmtId="0" fontId="2" fillId="0" borderId="0" xfId="1" applyFont="1" applyBorder="1"/>
    <xf numFmtId="4" fontId="2" fillId="0" borderId="35" xfId="1" applyNumberFormat="1" applyFont="1" applyBorder="1"/>
    <xf numFmtId="4" fontId="2" fillId="0" borderId="36" xfId="1" applyNumberFormat="1" applyFont="1" applyFill="1" applyBorder="1"/>
    <xf numFmtId="0" fontId="2" fillId="11" borderId="0" xfId="1" applyFont="1" applyFill="1" applyBorder="1"/>
    <xf numFmtId="4" fontId="2" fillId="11" borderId="37" xfId="1" applyNumberFormat="1" applyFont="1" applyFill="1" applyBorder="1"/>
    <xf numFmtId="4" fontId="2" fillId="11" borderId="36" xfId="1" applyNumberFormat="1" applyFont="1" applyFill="1" applyBorder="1"/>
    <xf numFmtId="0" fontId="6" fillId="0" borderId="0" xfId="1" applyFont="1" applyBorder="1"/>
    <xf numFmtId="4" fontId="6" fillId="0" borderId="37" xfId="1" applyNumberFormat="1" applyFont="1" applyBorder="1"/>
    <xf numFmtId="4" fontId="6" fillId="0" borderId="36" xfId="1" applyNumberFormat="1" applyFont="1" applyFill="1" applyBorder="1"/>
    <xf numFmtId="4" fontId="2" fillId="0" borderId="37" xfId="1" applyNumberFormat="1" applyFont="1" applyBorder="1"/>
    <xf numFmtId="0" fontId="6" fillId="11" borderId="0" xfId="1" applyFont="1" applyFill="1" applyBorder="1"/>
    <xf numFmtId="4" fontId="6" fillId="11" borderId="37" xfId="1" applyNumberFormat="1" applyFont="1" applyFill="1" applyBorder="1"/>
    <xf numFmtId="4" fontId="6" fillId="11" borderId="36" xfId="1" applyNumberFormat="1" applyFont="1" applyFill="1" applyBorder="1"/>
    <xf numFmtId="4" fontId="6" fillId="0" borderId="38" xfId="1" applyNumberFormat="1" applyFont="1" applyBorder="1"/>
    <xf numFmtId="0" fontId="13" fillId="0" borderId="0" xfId="0" applyFont="1" applyAlignment="1" applyProtection="1">
      <alignment vertical="center" wrapText="1"/>
    </xf>
    <xf numFmtId="4" fontId="15" fillId="10" borderId="34" xfId="1" applyNumberFormat="1" applyFont="1" applyFill="1" applyBorder="1"/>
    <xf numFmtId="4" fontId="15" fillId="10" borderId="3" xfId="1" applyNumberFormat="1" applyFont="1" applyFill="1" applyBorder="1"/>
    <xf numFmtId="0" fontId="12" fillId="0" borderId="0" xfId="0" applyFont="1" applyAlignment="1">
      <alignment vertical="center" wrapText="1"/>
    </xf>
    <xf numFmtId="0" fontId="9" fillId="0" borderId="22" xfId="0" applyFont="1" applyBorder="1" applyAlignment="1">
      <alignment horizontal="left" indent="1"/>
    </xf>
    <xf numFmtId="0" fontId="9" fillId="0" borderId="25" xfId="0" applyFont="1" applyBorder="1" applyAlignment="1">
      <alignment horizontal="left" indent="1"/>
    </xf>
    <xf numFmtId="0" fontId="8" fillId="0" borderId="25" xfId="0" applyFont="1" applyBorder="1" applyAlignment="1">
      <alignment horizontal="left" wrapText="1" indent="1"/>
    </xf>
    <xf numFmtId="0" fontId="8" fillId="0" borderId="41" xfId="0" applyFont="1" applyBorder="1" applyAlignment="1">
      <alignment horizontal="left" indent="1"/>
    </xf>
    <xf numFmtId="0" fontId="16" fillId="14" borderId="33" xfId="0" applyFont="1" applyFill="1" applyBorder="1" applyAlignment="1">
      <alignment horizontal="left" indent="1"/>
    </xf>
    <xf numFmtId="4" fontId="16" fillId="14" borderId="3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42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left" indent="1"/>
    </xf>
    <xf numFmtId="4" fontId="6" fillId="4" borderId="1" xfId="0" applyNumberFormat="1" applyFont="1" applyFill="1" applyBorder="1" applyAlignment="1">
      <alignment horizontal="right"/>
    </xf>
    <xf numFmtId="0" fontId="6" fillId="7" borderId="22" xfId="0" applyFont="1" applyFill="1" applyBorder="1" applyAlignment="1">
      <alignment horizontal="left" indent="1"/>
    </xf>
    <xf numFmtId="4" fontId="6" fillId="7" borderId="9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12" fillId="0" borderId="0" xfId="0" applyNumberFormat="1" applyFont="1" applyProtection="1"/>
    <xf numFmtId="49" fontId="12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Alignment="1" applyProtection="1">
      <alignment horizontal="left" vertical="center" wrapText="1"/>
    </xf>
    <xf numFmtId="4" fontId="18" fillId="2" borderId="0" xfId="0" applyNumberFormat="1" applyFont="1" applyFill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164" fontId="18" fillId="2" borderId="0" xfId="0" applyNumberFormat="1" applyFont="1" applyFill="1" applyAlignment="1" applyProtection="1">
      <alignment horizontal="left" vertical="center" wrapText="1" indent="1"/>
    </xf>
    <xf numFmtId="0" fontId="12" fillId="0" borderId="0" xfId="0" applyNumberFormat="1" applyFont="1" applyAlignment="1" applyProtection="1">
      <alignment vertical="center"/>
    </xf>
    <xf numFmtId="0" fontId="18" fillId="2" borderId="0" xfId="0" applyNumberFormat="1" applyFont="1" applyFill="1" applyAlignment="1" applyProtection="1">
      <alignment horizontal="left" vertical="center" wrapText="1"/>
    </xf>
    <xf numFmtId="0" fontId="18" fillId="2" borderId="0" xfId="0" applyNumberFormat="1" applyFont="1" applyFill="1" applyAlignment="1" applyProtection="1">
      <alignment horizontal="left" vertical="center" wrapText="1" indent="1"/>
    </xf>
    <xf numFmtId="0" fontId="0" fillId="0" borderId="0" xfId="0" applyNumberFormat="1" applyAlignment="1" applyProtection="1">
      <alignment vertical="center"/>
    </xf>
    <xf numFmtId="0" fontId="9" fillId="9" borderId="3" xfId="0" applyFont="1" applyFill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6" fillId="13" borderId="39" xfId="0" applyNumberFormat="1" applyFont="1" applyFill="1" applyBorder="1" applyAlignment="1">
      <alignment horizontal="right"/>
    </xf>
    <xf numFmtId="4" fontId="8" fillId="13" borderId="22" xfId="0" applyNumberFormat="1" applyFont="1" applyFill="1" applyBorder="1"/>
    <xf numFmtId="4" fontId="8" fillId="13" borderId="25" xfId="0" applyNumberFormat="1" applyFont="1" applyFill="1" applyBorder="1"/>
    <xf numFmtId="4" fontId="8" fillId="13" borderId="28" xfId="0" applyNumberFormat="1" applyFont="1" applyFill="1" applyBorder="1"/>
    <xf numFmtId="4" fontId="6" fillId="12" borderId="3" xfId="0" applyNumberFormat="1" applyFont="1" applyFill="1" applyBorder="1" applyAlignment="1">
      <alignment horizontal="right"/>
    </xf>
    <xf numFmtId="4" fontId="8" fillId="12" borderId="7" xfId="0" applyNumberFormat="1" applyFont="1" applyFill="1" applyBorder="1"/>
    <xf numFmtId="4" fontId="8" fillId="12" borderId="11" xfId="0" applyNumberFormat="1" applyFont="1" applyFill="1" applyBorder="1"/>
    <xf numFmtId="4" fontId="8" fillId="12" borderId="14" xfId="0" applyNumberFormat="1" applyFont="1" applyFill="1" applyBorder="1"/>
    <xf numFmtId="4" fontId="17" fillId="0" borderId="15" xfId="2" applyNumberFormat="1" applyFont="1" applyBorder="1" applyAlignment="1">
      <alignment horizontal="right"/>
    </xf>
    <xf numFmtId="4" fontId="17" fillId="0" borderId="16" xfId="2" applyNumberFormat="1" applyFont="1" applyBorder="1" applyAlignment="1">
      <alignment horizontal="right"/>
    </xf>
    <xf numFmtId="4" fontId="17" fillId="0" borderId="17" xfId="2" applyNumberFormat="1" applyFont="1" applyBorder="1" applyAlignment="1">
      <alignment horizontal="right"/>
    </xf>
    <xf numFmtId="0" fontId="18" fillId="0" borderId="0" xfId="0" applyFont="1" applyProtection="1"/>
    <xf numFmtId="10" fontId="17" fillId="0" borderId="12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2" fillId="15" borderId="0" xfId="0" applyNumberFormat="1" applyFont="1" applyFill="1" applyAlignment="1" applyProtection="1">
      <alignment vertical="center"/>
    </xf>
    <xf numFmtId="4" fontId="0" fillId="15" borderId="0" xfId="0" applyNumberFormat="1" applyFill="1" applyAlignment="1" applyProtection="1">
      <alignment vertical="center"/>
    </xf>
    <xf numFmtId="4" fontId="0" fillId="0" borderId="0" xfId="0" applyNumberFormat="1" applyAlignment="1" applyProtection="1">
      <alignment vertical="center" wrapText="1"/>
    </xf>
    <xf numFmtId="4" fontId="21" fillId="0" borderId="12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1" fillId="0" borderId="13" xfId="0" applyNumberFormat="1" applyFont="1" applyBorder="1" applyAlignment="1">
      <alignment horizontal="right"/>
    </xf>
    <xf numFmtId="4" fontId="22" fillId="0" borderId="9" xfId="0" applyNumberFormat="1" applyFont="1" applyBorder="1" applyAlignment="1">
      <alignment horizontal="right"/>
    </xf>
    <xf numFmtId="0" fontId="6" fillId="16" borderId="5" xfId="0" applyFont="1" applyFill="1" applyBorder="1" applyAlignment="1">
      <alignment horizontal="center" wrapText="1"/>
    </xf>
    <xf numFmtId="4" fontId="2" fillId="8" borderId="11" xfId="0" applyNumberFormat="1" applyFont="1" applyFill="1" applyBorder="1" applyAlignment="1">
      <alignment horizontal="right"/>
    </xf>
    <xf numFmtId="4" fontId="6" fillId="4" borderId="11" xfId="0" applyNumberFormat="1" applyFont="1" applyFill="1" applyBorder="1" applyAlignment="1">
      <alignment horizontal="right"/>
    </xf>
    <xf numFmtId="4" fontId="6" fillId="6" borderId="14" xfId="0" applyNumberFormat="1" applyFont="1" applyFill="1" applyBorder="1" applyAlignment="1">
      <alignment horizontal="right"/>
    </xf>
    <xf numFmtId="4" fontId="16" fillId="14" borderId="44" xfId="0" applyNumberFormat="1" applyFont="1" applyFill="1" applyBorder="1" applyAlignment="1">
      <alignment horizontal="right"/>
    </xf>
    <xf numFmtId="4" fontId="2" fillId="8" borderId="27" xfId="0" applyNumberFormat="1" applyFont="1" applyFill="1" applyBorder="1" applyAlignment="1">
      <alignment horizontal="right"/>
    </xf>
    <xf numFmtId="4" fontId="2" fillId="6" borderId="30" xfId="0" applyNumberFormat="1" applyFont="1" applyFill="1" applyBorder="1" applyAlignment="1">
      <alignment horizontal="right"/>
    </xf>
    <xf numFmtId="4" fontId="16" fillId="14" borderId="45" xfId="0" applyNumberFormat="1" applyFont="1" applyFill="1" applyBorder="1" applyAlignment="1">
      <alignment horizontal="right"/>
    </xf>
    <xf numFmtId="4" fontId="16" fillId="14" borderId="5" xfId="0" applyNumberFormat="1" applyFont="1" applyFill="1" applyBorder="1" applyAlignment="1">
      <alignment horizontal="right"/>
    </xf>
    <xf numFmtId="4" fontId="16" fillId="14" borderId="42" xfId="0" applyNumberFormat="1" applyFont="1" applyFill="1" applyBorder="1" applyAlignment="1">
      <alignment horizontal="right"/>
    </xf>
    <xf numFmtId="4" fontId="6" fillId="7" borderId="18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left" indent="1"/>
    </xf>
    <xf numFmtId="0" fontId="6" fillId="7" borderId="25" xfId="0" applyFont="1" applyFill="1" applyBorder="1" applyAlignment="1">
      <alignment horizontal="left" indent="1"/>
    </xf>
    <xf numFmtId="0" fontId="6" fillId="6" borderId="41" xfId="0" applyFont="1" applyFill="1" applyBorder="1" applyAlignment="1">
      <alignment horizontal="left" indent="1"/>
    </xf>
    <xf numFmtId="10" fontId="17" fillId="0" borderId="1" xfId="0" applyNumberFormat="1" applyFont="1" applyBorder="1" applyAlignment="1">
      <alignment horizontal="right"/>
    </xf>
    <xf numFmtId="4" fontId="2" fillId="0" borderId="2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6" fillId="7" borderId="26" xfId="0" applyNumberFormat="1" applyFont="1" applyFill="1" applyBorder="1" applyAlignment="1">
      <alignment horizontal="right"/>
    </xf>
    <xf numFmtId="4" fontId="6" fillId="7" borderId="27" xfId="0" applyNumberFormat="1" applyFont="1" applyFill="1" applyBorder="1" applyAlignment="1">
      <alignment horizontal="right"/>
    </xf>
    <xf numFmtId="10" fontId="17" fillId="0" borderId="26" xfId="0" applyNumberFormat="1" applyFont="1" applyBorder="1" applyAlignment="1">
      <alignment horizontal="right"/>
    </xf>
    <xf numFmtId="10" fontId="17" fillId="0" borderId="27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6" fillId="6" borderId="29" xfId="0" applyNumberFormat="1" applyFont="1" applyFill="1" applyBorder="1" applyAlignment="1">
      <alignment horizontal="right"/>
    </xf>
    <xf numFmtId="4" fontId="6" fillId="6" borderId="16" xfId="0" applyNumberFormat="1" applyFont="1" applyFill="1" applyBorder="1" applyAlignment="1">
      <alignment horizontal="right"/>
    </xf>
    <xf numFmtId="4" fontId="6" fillId="6" borderId="30" xfId="0" applyNumberFormat="1" applyFont="1" applyFill="1" applyBorder="1" applyAlignment="1">
      <alignment horizontal="right"/>
    </xf>
    <xf numFmtId="4" fontId="6" fillId="4" borderId="23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right"/>
    </xf>
    <xf numFmtId="4" fontId="6" fillId="4" borderId="24" xfId="0" applyNumberFormat="1" applyFont="1" applyFill="1" applyBorder="1" applyAlignment="1">
      <alignment horizontal="right"/>
    </xf>
    <xf numFmtId="4" fontId="6" fillId="7" borderId="7" xfId="0" applyNumberFormat="1" applyFont="1" applyFill="1" applyBorder="1" applyAlignment="1">
      <alignment horizontal="right"/>
    </xf>
    <xf numFmtId="0" fontId="3" fillId="7" borderId="43" xfId="0" applyFont="1" applyFill="1" applyBorder="1" applyAlignment="1">
      <alignment horizontal="center"/>
    </xf>
    <xf numFmtId="49" fontId="19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3" fillId="0" borderId="0" xfId="0" applyFont="1"/>
    <xf numFmtId="0" fontId="23" fillId="0" borderId="0" xfId="0" applyFont="1" applyProtection="1"/>
    <xf numFmtId="0" fontId="22" fillId="0" borderId="0" xfId="0" applyFont="1" applyFill="1" applyBorder="1"/>
    <xf numFmtId="0" fontId="10" fillId="0" borderId="0" xfId="0" applyFont="1"/>
    <xf numFmtId="0" fontId="22" fillId="0" borderId="0" xfId="0" applyFont="1"/>
    <xf numFmtId="0" fontId="24" fillId="0" borderId="0" xfId="0" applyFont="1" applyFill="1"/>
    <xf numFmtId="0" fontId="13" fillId="0" borderId="0" xfId="0" applyFont="1"/>
    <xf numFmtId="0" fontId="20" fillId="0" borderId="0" xfId="0" applyFont="1" applyFill="1"/>
    <xf numFmtId="0" fontId="20" fillId="0" borderId="0" xfId="0" applyFont="1" applyFill="1" applyBorder="1"/>
    <xf numFmtId="4" fontId="25" fillId="0" borderId="0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20" fillId="0" borderId="0" xfId="0" applyFont="1"/>
    <xf numFmtId="0" fontId="18" fillId="0" borderId="39" xfId="0" applyFont="1" applyBorder="1"/>
    <xf numFmtId="0" fontId="18" fillId="7" borderId="32" xfId="0" applyFont="1" applyFill="1" applyBorder="1" applyProtection="1"/>
    <xf numFmtId="0" fontId="18" fillId="7" borderId="33" xfId="0" applyFont="1" applyFill="1" applyBorder="1" applyProtection="1"/>
    <xf numFmtId="0" fontId="18" fillId="0" borderId="0" xfId="0" applyFont="1" applyFill="1" applyBorder="1" applyAlignment="1"/>
    <xf numFmtId="0" fontId="23" fillId="0" borderId="0" xfId="0" applyFont="1" applyFill="1" applyBorder="1" applyProtection="1"/>
    <xf numFmtId="0" fontId="13" fillId="0" borderId="0" xfId="0" applyFont="1" applyFill="1" applyBorder="1" applyProtection="1"/>
    <xf numFmtId="0" fontId="18" fillId="7" borderId="47" xfId="0" applyFont="1" applyFill="1" applyBorder="1" applyProtection="1"/>
    <xf numFmtId="0" fontId="26" fillId="0" borderId="0" xfId="0" applyFont="1"/>
    <xf numFmtId="4" fontId="2" fillId="0" borderId="20" xfId="2" applyNumberFormat="1" applyFont="1" applyBorder="1" applyAlignment="1">
      <alignment horizontal="right"/>
    </xf>
    <xf numFmtId="4" fontId="2" fillId="0" borderId="2" xfId="2" applyNumberFormat="1" applyFont="1" applyBorder="1" applyAlignment="1">
      <alignment horizontal="right"/>
    </xf>
    <xf numFmtId="4" fontId="2" fillId="0" borderId="21" xfId="2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2" fillId="0" borderId="0" xfId="0" applyFont="1"/>
    <xf numFmtId="4" fontId="12" fillId="0" borderId="7" xfId="0" applyNumberFormat="1" applyFont="1" applyBorder="1" applyAlignment="1" applyProtection="1">
      <alignment horizontal="right" indent="1"/>
    </xf>
    <xf numFmtId="4" fontId="12" fillId="0" borderId="11" xfId="0" applyNumberFormat="1" applyFont="1" applyBorder="1" applyAlignment="1" applyProtection="1">
      <alignment horizontal="right" indent="1"/>
    </xf>
    <xf numFmtId="4" fontId="18" fillId="0" borderId="3" xfId="0" applyNumberFormat="1" applyFont="1" applyBorder="1" applyAlignment="1" applyProtection="1">
      <alignment horizontal="right" indent="1"/>
    </xf>
    <xf numFmtId="4" fontId="18" fillId="0" borderId="3" xfId="0" applyNumberFormat="1" applyFont="1" applyFill="1" applyBorder="1" applyAlignment="1" applyProtection="1">
      <alignment horizontal="right" indent="1"/>
    </xf>
    <xf numFmtId="4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8" fillId="0" borderId="0" xfId="0" applyFont="1"/>
    <xf numFmtId="4" fontId="17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49" fontId="33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0" fontId="31" fillId="8" borderId="0" xfId="0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/>
    </xf>
    <xf numFmtId="14" fontId="6" fillId="4" borderId="46" xfId="0" applyNumberFormat="1" applyFont="1" applyFill="1" applyBorder="1" applyAlignment="1">
      <alignment horizontal="left" indent="1"/>
    </xf>
    <xf numFmtId="4" fontId="6" fillId="4" borderId="7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0" fontId="17" fillId="0" borderId="11" xfId="0" applyNumberFormat="1" applyFont="1" applyFill="1" applyBorder="1" applyAlignment="1">
      <alignment horizontal="right"/>
    </xf>
    <xf numFmtId="4" fontId="6" fillId="17" borderId="11" xfId="0" applyNumberFormat="1" applyFont="1" applyFill="1" applyBorder="1" applyAlignment="1">
      <alignment horizontal="right"/>
    </xf>
    <xf numFmtId="4" fontId="2" fillId="17" borderId="26" xfId="0" applyNumberFormat="1" applyFont="1" applyFill="1" applyBorder="1" applyAlignment="1">
      <alignment horizontal="right"/>
    </xf>
    <xf numFmtId="4" fontId="2" fillId="17" borderId="1" xfId="0" applyNumberFormat="1" applyFont="1" applyFill="1" applyBorder="1" applyAlignment="1">
      <alignment horizontal="right"/>
    </xf>
    <xf numFmtId="4" fontId="2" fillId="17" borderId="27" xfId="0" applyNumberFormat="1" applyFont="1" applyFill="1" applyBorder="1" applyAlignment="1">
      <alignment horizontal="right"/>
    </xf>
    <xf numFmtId="10" fontId="37" fillId="0" borderId="0" xfId="3" applyNumberFormat="1" applyFont="1" applyFill="1" applyBorder="1" applyAlignment="1">
      <alignment horizontal="left"/>
    </xf>
    <xf numFmtId="0" fontId="8" fillId="0" borderId="0" xfId="0" applyFont="1" applyBorder="1" applyAlignment="1">
      <alignment vertical="top" wrapText="1"/>
    </xf>
    <xf numFmtId="4" fontId="17" fillId="0" borderId="8" xfId="0" applyNumberFormat="1" applyFont="1" applyBorder="1"/>
    <xf numFmtId="0" fontId="17" fillId="0" borderId="9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4" fontId="17" fillId="0" borderId="50" xfId="0" applyNumberFormat="1" applyFont="1" applyBorder="1"/>
    <xf numFmtId="0" fontId="17" fillId="0" borderId="19" xfId="0" applyFont="1" applyBorder="1" applyAlignment="1">
      <alignment horizontal="center"/>
    </xf>
    <xf numFmtId="4" fontId="27" fillId="0" borderId="15" xfId="0" applyNumberFormat="1" applyFont="1" applyBorder="1"/>
    <xf numFmtId="0" fontId="27" fillId="0" borderId="16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10" fontId="3" fillId="0" borderId="39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0" fontId="38" fillId="0" borderId="43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4" xfId="0" applyFont="1" applyBorder="1" applyAlignment="1">
      <alignment horizontal="left" vertical="top" wrapText="1"/>
    </xf>
    <xf numFmtId="0" fontId="18" fillId="7" borderId="39" xfId="0" applyFont="1" applyFill="1" applyBorder="1" applyAlignment="1">
      <alignment horizontal="center"/>
    </xf>
    <xf numFmtId="0" fontId="18" fillId="7" borderId="40" xfId="0" applyFont="1" applyFill="1" applyBorder="1" applyAlignment="1">
      <alignment horizontal="center"/>
    </xf>
    <xf numFmtId="0" fontId="26" fillId="0" borderId="0" xfId="0" applyFont="1" applyAlignment="1" applyProtection="1">
      <alignment horizontal="center"/>
    </xf>
    <xf numFmtId="4" fontId="3" fillId="9" borderId="39" xfId="0" applyNumberFormat="1" applyFont="1" applyFill="1" applyBorder="1" applyAlignment="1">
      <alignment horizontal="center" vertical="center"/>
    </xf>
    <xf numFmtId="4" fontId="3" fillId="9" borderId="40" xfId="0" applyNumberFormat="1" applyFont="1" applyFill="1" applyBorder="1" applyAlignment="1">
      <alignment horizontal="center" vertical="center"/>
    </xf>
    <xf numFmtId="0" fontId="18" fillId="0" borderId="43" xfId="0" applyFont="1" applyBorder="1" applyAlignment="1" applyProtection="1">
      <alignment horizontal="center" vertical="center" textRotation="90"/>
    </xf>
    <xf numFmtId="0" fontId="18" fillId="0" borderId="36" xfId="0" applyFont="1" applyBorder="1" applyAlignment="1" applyProtection="1">
      <alignment horizontal="center" vertical="center" textRotation="90"/>
    </xf>
    <xf numFmtId="0" fontId="18" fillId="0" borderId="44" xfId="0" applyFont="1" applyBorder="1" applyAlignment="1" applyProtection="1">
      <alignment horizontal="center" vertical="center" textRotation="90"/>
    </xf>
    <xf numFmtId="4" fontId="17" fillId="0" borderId="20" xfId="2" applyNumberFormat="1" applyFont="1" applyBorder="1" applyAlignment="1">
      <alignment horizontal="right"/>
    </xf>
    <xf numFmtId="4" fontId="17" fillId="0" borderId="2" xfId="2" applyNumberFormat="1" applyFont="1" applyBorder="1" applyAlignment="1">
      <alignment horizontal="right"/>
    </xf>
    <xf numFmtId="4" fontId="17" fillId="0" borderId="21" xfId="2" applyNumberFormat="1" applyFont="1" applyBorder="1" applyAlignment="1">
      <alignment horizontal="right"/>
    </xf>
    <xf numFmtId="4" fontId="27" fillId="7" borderId="48" xfId="0" applyNumberFormat="1" applyFont="1" applyFill="1" applyBorder="1" applyAlignment="1">
      <alignment horizontal="right"/>
    </xf>
    <xf numFmtId="4" fontId="28" fillId="0" borderId="14" xfId="0" applyNumberFormat="1" applyFont="1" applyBorder="1" applyAlignment="1" applyProtection="1">
      <alignment horizontal="right" indent="1"/>
    </xf>
    <xf numFmtId="0" fontId="18" fillId="0" borderId="13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" wrapText="1"/>
    </xf>
    <xf numFmtId="10" fontId="8" fillId="0" borderId="1" xfId="3" applyNumberFormat="1" applyFont="1" applyBorder="1" applyAlignment="1">
      <alignment horizontal="center"/>
    </xf>
    <xf numFmtId="10" fontId="34" fillId="8" borderId="1" xfId="0" applyNumberFormat="1" applyFont="1" applyFill="1" applyBorder="1" applyAlignment="1">
      <alignment horizontal="center"/>
    </xf>
    <xf numFmtId="10" fontId="40" fillId="8" borderId="1" xfId="0" applyNumberFormat="1" applyFont="1" applyFill="1" applyBorder="1" applyAlignment="1">
      <alignment horizontal="center"/>
    </xf>
    <xf numFmtId="10" fontId="41" fillId="0" borderId="1" xfId="3" applyNumberFormat="1" applyFont="1" applyBorder="1" applyAlignment="1">
      <alignment horizontal="center"/>
    </xf>
  </cellXfs>
  <cellStyles count="4">
    <cellStyle name="Normální" xfId="0" builtinId="0"/>
    <cellStyle name="Normální 2" xfId="2"/>
    <cellStyle name="normální_APRUD" xfId="1"/>
    <cellStyle name="Procenta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C28" fmlaRange="Zdroj!$A$4:$A$15" sel="1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3</xdr:col>
          <xdr:colOff>0</xdr:colOff>
          <xdr:row>28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1"/>
  <sheetViews>
    <sheetView showGridLines="0" tabSelected="1" zoomScaleNormal="100" workbookViewId="0">
      <selection activeCell="O37" sqref="O37"/>
    </sheetView>
  </sheetViews>
  <sheetFormatPr defaultColWidth="0" defaultRowHeight="12.75" zeroHeight="1" x14ac:dyDescent="0.2"/>
  <cols>
    <col min="1" max="1" width="2.33203125" style="46" customWidth="1"/>
    <col min="2" max="2" width="3.6640625" style="46" customWidth="1"/>
    <col min="3" max="3" width="25.5" style="46" customWidth="1"/>
    <col min="4" max="11" width="16.33203125" style="46" customWidth="1"/>
    <col min="12" max="12" width="4.6640625" style="47" customWidth="1"/>
    <col min="13" max="13" width="6.83203125" style="47" customWidth="1"/>
    <col min="14" max="14" width="18" style="160" customWidth="1"/>
    <col min="15" max="15" width="15.83203125" style="160" customWidth="1"/>
    <col min="16" max="16" width="5" style="176" customWidth="1"/>
    <col min="17" max="17" width="9.33203125" style="46" hidden="1" customWidth="1"/>
    <col min="18" max="18" width="9.33203125" style="47" hidden="1" customWidth="1"/>
    <col min="19" max="19" width="9.33203125" style="46" hidden="1" customWidth="1"/>
    <col min="20" max="20" width="27" style="46" hidden="1" customWidth="1"/>
    <col min="21" max="21" width="9.33203125" style="46" hidden="1" customWidth="1"/>
    <col min="22" max="22" width="14.83203125" style="46" hidden="1" customWidth="1"/>
    <col min="23" max="23" width="9.33203125" style="48" hidden="1" customWidth="1"/>
    <col min="24" max="24" width="13.6640625" style="46" hidden="1" customWidth="1"/>
    <col min="25" max="16384" width="9.33203125" style="46" hidden="1"/>
  </cols>
  <sheetData>
    <row r="1" spans="3:24 16384:16384" ht="26.25" x14ac:dyDescent="0.4">
      <c r="C1" s="3" t="s">
        <v>158</v>
      </c>
      <c r="D1" s="4"/>
      <c r="E1" s="4"/>
      <c r="F1" s="4"/>
      <c r="G1" s="4"/>
      <c r="H1" s="5"/>
      <c r="I1" s="4"/>
      <c r="J1" s="4"/>
      <c r="K1" s="6" t="s">
        <v>8</v>
      </c>
      <c r="L1" s="164"/>
      <c r="M1" s="165"/>
      <c r="N1" s="159"/>
      <c r="O1" s="159"/>
    </row>
    <row r="2" spans="3:24 16384:16384" ht="15.75" x14ac:dyDescent="0.25">
      <c r="C2" s="7" t="s">
        <v>159</v>
      </c>
      <c r="D2" s="4"/>
      <c r="E2" s="4"/>
      <c r="F2" s="4"/>
      <c r="G2" s="4"/>
      <c r="H2" s="5"/>
      <c r="I2" s="4"/>
      <c r="J2" s="4"/>
      <c r="K2" s="4"/>
      <c r="L2" s="166"/>
      <c r="M2" s="165"/>
      <c r="N2" s="159"/>
      <c r="O2" s="159"/>
    </row>
    <row r="3" spans="3:24 16384:16384" ht="24.75" x14ac:dyDescent="0.25">
      <c r="C3" s="7"/>
      <c r="D3" s="4"/>
      <c r="E3" s="4"/>
      <c r="F3" s="4"/>
      <c r="G3" s="4"/>
      <c r="H3" s="5"/>
      <c r="I3" s="197" t="s">
        <v>133</v>
      </c>
      <c r="J3" s="5"/>
      <c r="K3" s="5"/>
      <c r="L3" s="167"/>
      <c r="M3" s="165"/>
      <c r="N3" s="159"/>
      <c r="O3" s="159"/>
    </row>
    <row r="4" spans="3:24 16384:16384" ht="15.75" x14ac:dyDescent="0.25">
      <c r="C4" s="75" t="s">
        <v>9</v>
      </c>
      <c r="D4" s="11" t="s">
        <v>10</v>
      </c>
      <c r="E4" s="11" t="s">
        <v>11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4"/>
      <c r="L4" s="166"/>
      <c r="M4" s="165"/>
      <c r="XFD4" s="11" t="s">
        <v>12</v>
      </c>
    </row>
    <row r="5" spans="3:24 16384:16384" ht="18.75" x14ac:dyDescent="0.3">
      <c r="C5" s="11" t="s">
        <v>18</v>
      </c>
      <c r="D5" s="11" t="s">
        <v>19</v>
      </c>
      <c r="E5" s="11" t="s">
        <v>20</v>
      </c>
      <c r="F5" s="44" t="s">
        <v>21</v>
      </c>
      <c r="G5" s="44" t="s">
        <v>22</v>
      </c>
      <c r="H5" s="44" t="s">
        <v>23</v>
      </c>
      <c r="I5" s="11" t="s">
        <v>19</v>
      </c>
      <c r="J5" s="11" t="s">
        <v>24</v>
      </c>
      <c r="K5" s="4"/>
      <c r="L5" s="166"/>
      <c r="M5" s="165"/>
      <c r="N5" s="179" t="s">
        <v>135</v>
      </c>
      <c r="O5" s="159"/>
      <c r="XFD5" s="11" t="s">
        <v>20</v>
      </c>
    </row>
    <row r="6" spans="3:24 16384:16384" ht="13.5" thickBot="1" x14ac:dyDescent="0.25">
      <c r="C6" s="76" t="s">
        <v>25</v>
      </c>
      <c r="D6" s="42" t="s">
        <v>26</v>
      </c>
      <c r="E6" s="42" t="s">
        <v>27</v>
      </c>
      <c r="F6" s="42" t="s">
        <v>29</v>
      </c>
      <c r="G6" s="42" t="s">
        <v>30</v>
      </c>
      <c r="H6" s="42" t="s">
        <v>31</v>
      </c>
      <c r="I6" s="43" t="s">
        <v>32</v>
      </c>
      <c r="J6" s="43" t="s">
        <v>33</v>
      </c>
      <c r="K6" s="4"/>
      <c r="L6" s="166"/>
      <c r="M6" s="165"/>
      <c r="N6" s="159"/>
      <c r="O6" s="159"/>
      <c r="XFD6" s="43" t="s">
        <v>28</v>
      </c>
    </row>
    <row r="7" spans="3:24 16384:16384" ht="27" thickBot="1" x14ac:dyDescent="0.3">
      <c r="C7" s="34" t="s">
        <v>34</v>
      </c>
      <c r="D7" s="35" t="s">
        <v>35</v>
      </c>
      <c r="E7" s="36" t="s">
        <v>36</v>
      </c>
      <c r="F7" s="37" t="s">
        <v>88</v>
      </c>
      <c r="G7" s="36" t="s">
        <v>39</v>
      </c>
      <c r="H7" s="36" t="s">
        <v>6</v>
      </c>
      <c r="I7" s="37" t="s">
        <v>40</v>
      </c>
      <c r="J7" s="77" t="s">
        <v>41</v>
      </c>
      <c r="K7" s="153" t="s">
        <v>42</v>
      </c>
      <c r="L7" s="190"/>
      <c r="M7" s="190"/>
      <c r="N7" s="225" t="s">
        <v>138</v>
      </c>
      <c r="O7" s="226"/>
      <c r="P7" s="175"/>
      <c r="T7" s="49" t="s">
        <v>75</v>
      </c>
      <c r="U7" s="49" t="s">
        <v>76</v>
      </c>
      <c r="V7" s="50" t="s">
        <v>77</v>
      </c>
      <c r="XFD7" s="37" t="s">
        <v>37</v>
      </c>
    </row>
    <row r="8" spans="3:24 16384:16384" x14ac:dyDescent="0.2">
      <c r="C8" s="38" t="s">
        <v>43</v>
      </c>
      <c r="D8" s="99">
        <v>17146.830000000002</v>
      </c>
      <c r="E8" s="100">
        <v>329.78</v>
      </c>
      <c r="F8" s="100">
        <v>1367.32</v>
      </c>
      <c r="G8" s="100">
        <v>3401.42</v>
      </c>
      <c r="H8" s="100">
        <v>31956.61</v>
      </c>
      <c r="I8" s="100">
        <v>1320.54</v>
      </c>
      <c r="J8" s="101">
        <v>5035.6400000000003</v>
      </c>
      <c r="K8" s="152">
        <f t="shared" ref="K8:K22" si="0">SUM(D8:J8)</f>
        <v>60558.14</v>
      </c>
      <c r="L8" s="189"/>
      <c r="M8" s="189"/>
      <c r="N8" s="38" t="s">
        <v>43</v>
      </c>
      <c r="O8" s="185">
        <v>21.93</v>
      </c>
      <c r="T8" s="51" t="s">
        <v>78</v>
      </c>
      <c r="U8" s="52">
        <v>34.262454545454545</v>
      </c>
      <c r="V8" s="53">
        <v>123.45481884272728</v>
      </c>
      <c r="W8" s="48">
        <f>U8/U10</f>
        <v>0.94019138755980858</v>
      </c>
      <c r="X8" s="46">
        <f>R17*W8</f>
        <v>117523.92344497607</v>
      </c>
      <c r="XFD8" s="122">
        <v>0</v>
      </c>
    </row>
    <row r="9" spans="3:24 16384:16384" x14ac:dyDescent="0.2">
      <c r="C9" s="22" t="s">
        <v>44</v>
      </c>
      <c r="D9" s="19">
        <v>15851.99</v>
      </c>
      <c r="E9" s="20">
        <v>227.7</v>
      </c>
      <c r="F9" s="20">
        <v>1605.09</v>
      </c>
      <c r="G9" s="20">
        <v>1360.34</v>
      </c>
      <c r="H9" s="20">
        <v>39365.4</v>
      </c>
      <c r="I9" s="20">
        <v>1220.82</v>
      </c>
      <c r="J9" s="21">
        <v>224.82</v>
      </c>
      <c r="K9" s="40">
        <f t="shared" si="0"/>
        <v>59856.160000000003</v>
      </c>
      <c r="L9" s="18"/>
      <c r="M9" s="18"/>
      <c r="N9" s="22" t="s">
        <v>44</v>
      </c>
      <c r="O9" s="186">
        <v>1394.01</v>
      </c>
      <c r="T9" s="54" t="s">
        <v>79</v>
      </c>
      <c r="U9" s="55">
        <v>2.1795454545454547</v>
      </c>
      <c r="V9" s="56">
        <v>10.079613090909092</v>
      </c>
      <c r="W9" s="48">
        <f>U9/U10</f>
        <v>5.9808612440191387E-2</v>
      </c>
      <c r="X9" s="46">
        <f>R17*W9</f>
        <v>7476.076555023923</v>
      </c>
      <c r="XFD9" s="20"/>
    </row>
    <row r="10" spans="3:24 16384:16384" x14ac:dyDescent="0.2">
      <c r="C10" s="22" t="s">
        <v>45</v>
      </c>
      <c r="D10" s="19">
        <v>14593.79</v>
      </c>
      <c r="E10" s="20">
        <v>682.66</v>
      </c>
      <c r="F10" s="20">
        <v>1105.96</v>
      </c>
      <c r="G10" s="20">
        <v>28465.439999999999</v>
      </c>
      <c r="H10" s="20">
        <v>20499.150000000001</v>
      </c>
      <c r="I10" s="20">
        <v>1123.92</v>
      </c>
      <c r="J10" s="21">
        <v>494.22</v>
      </c>
      <c r="K10" s="40">
        <f t="shared" si="0"/>
        <v>66965.14</v>
      </c>
      <c r="L10" s="189"/>
      <c r="M10" s="189"/>
      <c r="N10" s="22" t="s">
        <v>45</v>
      </c>
      <c r="O10" s="186">
        <v>25.79</v>
      </c>
      <c r="T10" s="57" t="s">
        <v>80</v>
      </c>
      <c r="U10" s="58">
        <v>36.442</v>
      </c>
      <c r="V10" s="59">
        <v>133.53443193363637</v>
      </c>
      <c r="X10" s="46">
        <f>SUM(X8:X9)</f>
        <v>125000</v>
      </c>
      <c r="XFD10" s="20"/>
    </row>
    <row r="11" spans="3:24 16384:16384" x14ac:dyDescent="0.2">
      <c r="C11" s="22" t="s">
        <v>46</v>
      </c>
      <c r="D11" s="19">
        <v>12094</v>
      </c>
      <c r="E11" s="20">
        <v>0</v>
      </c>
      <c r="F11" s="20">
        <v>1063.76</v>
      </c>
      <c r="G11" s="20">
        <v>4940.71</v>
      </c>
      <c r="H11" s="20">
        <v>20518.580000000002</v>
      </c>
      <c r="I11" s="20">
        <v>931.4</v>
      </c>
      <c r="J11" s="21">
        <v>61.45</v>
      </c>
      <c r="K11" s="40">
        <f t="shared" si="0"/>
        <v>39609.9</v>
      </c>
      <c r="L11" s="189"/>
      <c r="M11" s="189"/>
      <c r="N11" s="22" t="s">
        <v>46</v>
      </c>
      <c r="O11" s="186">
        <v>2.82</v>
      </c>
      <c r="T11" s="54" t="s">
        <v>81</v>
      </c>
      <c r="U11" s="55">
        <v>0.47626930693069303</v>
      </c>
      <c r="V11" s="56">
        <v>1.7160983294257424</v>
      </c>
      <c r="W11" s="48">
        <f>U11/U13</f>
        <v>0.32046751834737697</v>
      </c>
      <c r="X11" s="46">
        <f>R18*W11</f>
        <v>1762.5713509105733</v>
      </c>
      <c r="XFD11" s="120"/>
    </row>
    <row r="12" spans="3:24 16384:16384" x14ac:dyDescent="0.2">
      <c r="C12" s="22" t="s">
        <v>47</v>
      </c>
      <c r="D12" s="19">
        <v>3030.69</v>
      </c>
      <c r="E12" s="20">
        <v>0</v>
      </c>
      <c r="F12" s="20">
        <v>1187.83</v>
      </c>
      <c r="G12" s="20">
        <v>0</v>
      </c>
      <c r="H12" s="20">
        <v>29566.23</v>
      </c>
      <c r="I12" s="20">
        <v>233.4</v>
      </c>
      <c r="J12" s="21">
        <v>61.44</v>
      </c>
      <c r="K12" s="40">
        <f t="shared" si="0"/>
        <v>34079.590000000004</v>
      </c>
      <c r="L12" s="189"/>
      <c r="M12" s="189"/>
      <c r="N12" s="22" t="s">
        <v>47</v>
      </c>
      <c r="O12" s="186">
        <v>1344.67</v>
      </c>
      <c r="T12" s="51" t="s">
        <v>82</v>
      </c>
      <c r="U12" s="60">
        <v>1.0099009900990099</v>
      </c>
      <c r="V12" s="53">
        <v>3.6388853465346536</v>
      </c>
      <c r="W12" s="48">
        <f>U12/U13</f>
        <v>0.67953248165262292</v>
      </c>
      <c r="X12" s="46">
        <f>R18*W12</f>
        <v>3737.428649089426</v>
      </c>
      <c r="XFD12" s="20"/>
    </row>
    <row r="13" spans="3:24 16384:16384" x14ac:dyDescent="0.2">
      <c r="C13" s="22" t="s">
        <v>48</v>
      </c>
      <c r="D13" s="19">
        <v>10427.31</v>
      </c>
      <c r="E13" s="20">
        <v>0</v>
      </c>
      <c r="F13" s="20">
        <v>1364.78</v>
      </c>
      <c r="G13" s="20">
        <v>11922.51</v>
      </c>
      <c r="H13" s="20">
        <v>19418.22</v>
      </c>
      <c r="I13" s="20">
        <v>803.04</v>
      </c>
      <c r="J13" s="21">
        <v>38067.519999999997</v>
      </c>
      <c r="K13" s="40">
        <f t="shared" si="0"/>
        <v>82003.38</v>
      </c>
      <c r="L13" s="189"/>
      <c r="M13" s="189"/>
      <c r="N13" s="22" t="s">
        <v>48</v>
      </c>
      <c r="O13" s="186">
        <v>9.3000000000000007</v>
      </c>
      <c r="T13" s="61" t="s">
        <v>83</v>
      </c>
      <c r="U13" s="62">
        <v>1.486170297029703</v>
      </c>
      <c r="V13" s="63">
        <v>5.3549836759603959</v>
      </c>
      <c r="X13" s="46">
        <f>SUM(X11:X12)</f>
        <v>5499.9999999999991</v>
      </c>
      <c r="XFD13" s="20"/>
    </row>
    <row r="14" spans="3:24 16384:16384" x14ac:dyDescent="0.2">
      <c r="C14" s="22" t="s">
        <v>49</v>
      </c>
      <c r="D14" s="19">
        <v>15274.8</v>
      </c>
      <c r="E14" s="20">
        <v>0</v>
      </c>
      <c r="F14" s="20">
        <v>1603.59</v>
      </c>
      <c r="G14" s="20">
        <v>21862.45</v>
      </c>
      <c r="H14" s="20">
        <v>27770.77</v>
      </c>
      <c r="I14" s="20">
        <v>1176.3699999999999</v>
      </c>
      <c r="J14" s="21">
        <v>1491.78</v>
      </c>
      <c r="K14" s="40">
        <f t="shared" si="0"/>
        <v>69179.759999999995</v>
      </c>
      <c r="L14" s="189"/>
      <c r="M14" s="189"/>
      <c r="N14" s="22" t="s">
        <v>49</v>
      </c>
      <c r="O14" s="186">
        <v>17.23</v>
      </c>
      <c r="T14" s="57" t="s">
        <v>84</v>
      </c>
      <c r="U14" s="58">
        <v>3.8426666666666667</v>
      </c>
      <c r="V14" s="59">
        <v>13.845934959999999</v>
      </c>
      <c r="XFD14" s="120"/>
    </row>
    <row r="15" spans="3:24 16384:16384" x14ac:dyDescent="0.2">
      <c r="C15" s="22" t="s">
        <v>50</v>
      </c>
      <c r="D15" s="19">
        <v>15836.52</v>
      </c>
      <c r="E15" s="20">
        <v>0</v>
      </c>
      <c r="F15" s="20">
        <v>1605.02</v>
      </c>
      <c r="G15" s="20">
        <v>0</v>
      </c>
      <c r="H15" s="20">
        <v>38024.46</v>
      </c>
      <c r="I15" s="20">
        <v>1219.6300000000001</v>
      </c>
      <c r="J15" s="21">
        <v>670.2</v>
      </c>
      <c r="K15" s="40">
        <f t="shared" si="0"/>
        <v>57355.829999999994</v>
      </c>
      <c r="L15" s="189"/>
      <c r="M15" s="189"/>
      <c r="N15" s="22" t="s">
        <v>50</v>
      </c>
      <c r="O15" s="186">
        <v>1254.18</v>
      </c>
      <c r="T15" s="61" t="s">
        <v>85</v>
      </c>
      <c r="U15" s="62">
        <v>35.422400000000003</v>
      </c>
      <c r="V15" s="63">
        <v>127.63434590400001</v>
      </c>
      <c r="XFD15" s="20"/>
    </row>
    <row r="16" spans="3:24 16384:16384" ht="13.5" thickBot="1" x14ac:dyDescent="0.25">
      <c r="C16" s="22" t="s">
        <v>51</v>
      </c>
      <c r="D16" s="19">
        <v>15095.44</v>
      </c>
      <c r="E16" s="20">
        <v>0</v>
      </c>
      <c r="F16" s="20">
        <v>1813.99</v>
      </c>
      <c r="G16" s="20">
        <v>23572.12</v>
      </c>
      <c r="H16" s="20">
        <v>26910.76</v>
      </c>
      <c r="I16" s="20">
        <v>1528.74</v>
      </c>
      <c r="J16" s="21">
        <v>425.08</v>
      </c>
      <c r="K16" s="40">
        <f t="shared" si="0"/>
        <v>69346.13</v>
      </c>
      <c r="L16" s="189"/>
      <c r="M16" s="189"/>
      <c r="N16" s="22" t="s">
        <v>51</v>
      </c>
      <c r="O16" s="186">
        <v>36.36</v>
      </c>
      <c r="T16" s="57" t="s">
        <v>86</v>
      </c>
      <c r="U16" s="64">
        <v>73.446135231316717</v>
      </c>
      <c r="V16" s="59">
        <v>264.64184892683272</v>
      </c>
      <c r="XFD16" s="20"/>
    </row>
    <row r="17" spans="2:23 16382:16384" ht="13.5" thickBot="1" x14ac:dyDescent="0.25">
      <c r="C17" s="22" t="s">
        <v>52</v>
      </c>
      <c r="D17" s="19">
        <v>16078.08</v>
      </c>
      <c r="E17" s="20">
        <v>133.55000000000001</v>
      </c>
      <c r="F17" s="20">
        <v>1577.34</v>
      </c>
      <c r="G17" s="20">
        <v>5540.65</v>
      </c>
      <c r="H17" s="20">
        <v>27382.18</v>
      </c>
      <c r="I17" s="20">
        <v>1290.42</v>
      </c>
      <c r="J17" s="21">
        <v>354.56</v>
      </c>
      <c r="K17" s="40">
        <f t="shared" ref="K17" si="1">SUM(D17:J17)</f>
        <v>52356.779999999992</v>
      </c>
      <c r="L17" s="189"/>
      <c r="M17" s="189"/>
      <c r="N17" s="22" t="s">
        <v>52</v>
      </c>
      <c r="O17" s="186">
        <v>230.66</v>
      </c>
      <c r="R17" s="65">
        <v>125000</v>
      </c>
      <c r="T17" s="49" t="s">
        <v>42</v>
      </c>
      <c r="U17" s="66">
        <v>150.6393721950131</v>
      </c>
      <c r="V17" s="67">
        <v>545.01154540042944</v>
      </c>
      <c r="XFD17" s="20"/>
    </row>
    <row r="18" spans="2:23 16382:16384" x14ac:dyDescent="0.2">
      <c r="C18" s="22" t="s">
        <v>53</v>
      </c>
      <c r="D18" s="19">
        <v>15880.44</v>
      </c>
      <c r="E18" s="20">
        <v>136.33000000000001</v>
      </c>
      <c r="F18" s="20">
        <v>1484.15</v>
      </c>
      <c r="G18" s="20">
        <v>1369.47</v>
      </c>
      <c r="H18" s="20">
        <v>40038.81</v>
      </c>
      <c r="I18" s="20">
        <v>1274.55</v>
      </c>
      <c r="J18" s="21">
        <v>562.04999999999995</v>
      </c>
      <c r="K18" s="40">
        <f t="shared" ref="K18:K19" si="2">SUM(D18:J18)</f>
        <v>60745.8</v>
      </c>
      <c r="L18" s="189"/>
      <c r="M18" s="189"/>
      <c r="N18" s="22" t="s">
        <v>53</v>
      </c>
      <c r="O18" s="186">
        <v>1600.08</v>
      </c>
      <c r="R18" s="65">
        <v>5500</v>
      </c>
      <c r="T18" s="30"/>
      <c r="XFD18" s="20"/>
    </row>
    <row r="19" spans="2:23 16382:16384" ht="13.5" thickBot="1" x14ac:dyDescent="0.25">
      <c r="C19" s="39" t="s">
        <v>54</v>
      </c>
      <c r="D19" s="233">
        <v>18536.45</v>
      </c>
      <c r="E19" s="234">
        <v>1309.94</v>
      </c>
      <c r="F19" s="234">
        <v>1422.9</v>
      </c>
      <c r="G19" s="234">
        <v>26300.89</v>
      </c>
      <c r="H19" s="234">
        <v>31740.61</v>
      </c>
      <c r="I19" s="234">
        <v>1487.72</v>
      </c>
      <c r="J19" s="235">
        <v>16799.580000000002</v>
      </c>
      <c r="K19" s="236">
        <f t="shared" si="2"/>
        <v>97598.090000000011</v>
      </c>
      <c r="L19" s="193"/>
      <c r="M19" s="189"/>
      <c r="N19" s="39" t="s">
        <v>54</v>
      </c>
      <c r="O19" s="237">
        <v>77.03</v>
      </c>
      <c r="T19" s="30"/>
      <c r="XFD19" s="111"/>
    </row>
    <row r="20" spans="2:23 16382:16384" ht="13.5" thickBot="1" x14ac:dyDescent="0.25">
      <c r="B20" s="230">
        <v>2020</v>
      </c>
      <c r="C20" s="199">
        <v>44196</v>
      </c>
      <c r="D20" s="149">
        <f>SUM(D8:D19)</f>
        <v>169846.34000000003</v>
      </c>
      <c r="E20" s="150">
        <f t="shared" ref="E20:J20" si="3">SUM(E8:E19)</f>
        <v>2819.96</v>
      </c>
      <c r="F20" s="150">
        <f t="shared" si="3"/>
        <v>17201.73</v>
      </c>
      <c r="G20" s="150">
        <f t="shared" si="3"/>
        <v>128735.99999999999</v>
      </c>
      <c r="H20" s="150">
        <f t="shared" si="3"/>
        <v>353191.77999999997</v>
      </c>
      <c r="I20" s="150">
        <f t="shared" si="3"/>
        <v>13610.549999999997</v>
      </c>
      <c r="J20" s="151">
        <f t="shared" si="3"/>
        <v>64248.34</v>
      </c>
      <c r="K20" s="200">
        <f>SUM(D20:J20)</f>
        <v>749654.70000000007</v>
      </c>
      <c r="L20" s="193"/>
      <c r="M20" s="189"/>
      <c r="N20" s="172" t="s">
        <v>42</v>
      </c>
      <c r="O20" s="187">
        <f>SUM(O8:O19)</f>
        <v>6014.0599999999995</v>
      </c>
      <c r="T20" s="30"/>
      <c r="XFD20" s="100">
        <v>0</v>
      </c>
    </row>
    <row r="21" spans="2:23 16382:16384" x14ac:dyDescent="0.2">
      <c r="B21" s="231"/>
      <c r="C21" s="134" t="s">
        <v>160</v>
      </c>
      <c r="D21" s="138">
        <v>211580</v>
      </c>
      <c r="E21" s="41">
        <v>3360</v>
      </c>
      <c r="F21" s="41">
        <v>18460</v>
      </c>
      <c r="G21" s="41">
        <v>154780</v>
      </c>
      <c r="H21" s="41">
        <v>392590</v>
      </c>
      <c r="I21" s="41">
        <v>0</v>
      </c>
      <c r="J21" s="139">
        <v>62000</v>
      </c>
      <c r="K21" s="201">
        <f t="shared" si="0"/>
        <v>842770</v>
      </c>
      <c r="L21" s="189"/>
      <c r="M21" s="189"/>
      <c r="N21" s="46"/>
      <c r="P21" s="177"/>
      <c r="R21" s="30"/>
      <c r="U21" s="48"/>
      <c r="W21" s="46"/>
      <c r="XFB21" s="41"/>
    </row>
    <row r="22" spans="2:23 16382:16384" ht="15" x14ac:dyDescent="0.25">
      <c r="B22" s="231"/>
      <c r="C22" s="135" t="s">
        <v>161</v>
      </c>
      <c r="D22" s="204">
        <v>167400</v>
      </c>
      <c r="E22" s="205">
        <v>1240</v>
      </c>
      <c r="F22" s="205">
        <v>9930</v>
      </c>
      <c r="G22" s="205">
        <v>96490</v>
      </c>
      <c r="H22" s="205">
        <v>359770</v>
      </c>
      <c r="I22" s="205">
        <v>0</v>
      </c>
      <c r="J22" s="206">
        <v>62000</v>
      </c>
      <c r="K22" s="203">
        <f t="shared" si="0"/>
        <v>696830</v>
      </c>
      <c r="L22" s="195" t="s">
        <v>104</v>
      </c>
      <c r="M22" s="194"/>
      <c r="N22" s="46"/>
      <c r="O22" s="46"/>
      <c r="P22" s="177"/>
      <c r="R22" s="30"/>
      <c r="U22" s="48"/>
      <c r="W22" s="46"/>
      <c r="XFB22" s="82"/>
    </row>
    <row r="23" spans="2:23 16382:16384" ht="12.75" customHeight="1" x14ac:dyDescent="0.25">
      <c r="B23" s="231"/>
      <c r="C23" s="24" t="s">
        <v>55</v>
      </c>
      <c r="D23" s="142">
        <f>D20/D22</f>
        <v>1.0146137395459978</v>
      </c>
      <c r="E23" s="137">
        <f t="shared" ref="E23:K23" si="4">E20/E22</f>
        <v>2.2741612903225805</v>
      </c>
      <c r="F23" s="137">
        <f t="shared" si="4"/>
        <v>1.7322990936555891</v>
      </c>
      <c r="G23" s="137">
        <f t="shared" si="4"/>
        <v>1.3341900715100008</v>
      </c>
      <c r="H23" s="137">
        <f t="shared" si="4"/>
        <v>0.9817154848931261</v>
      </c>
      <c r="I23" s="198" t="s">
        <v>132</v>
      </c>
      <c r="J23" s="143">
        <f t="shared" si="4"/>
        <v>1.0362635483870968</v>
      </c>
      <c r="K23" s="202">
        <f>K20/K22</f>
        <v>1.0758071552602502</v>
      </c>
      <c r="L23" s="196">
        <f>C28/12</f>
        <v>1</v>
      </c>
      <c r="N23" s="227" t="s">
        <v>139</v>
      </c>
      <c r="O23" s="46"/>
      <c r="P23" s="177"/>
      <c r="R23" s="46"/>
      <c r="U23" s="48"/>
      <c r="W23" s="46"/>
      <c r="XFB23" s="114"/>
    </row>
    <row r="24" spans="2:23 16382:16384" ht="12.75" customHeight="1" x14ac:dyDescent="0.2">
      <c r="B24" s="231"/>
      <c r="C24" s="24" t="s">
        <v>103</v>
      </c>
      <c r="D24" s="144">
        <f>D22/12*$C$28</f>
        <v>167400</v>
      </c>
      <c r="E24" s="20">
        <f t="shared" ref="E24:J24" si="5">E22/12*$C$28</f>
        <v>1240</v>
      </c>
      <c r="F24" s="20">
        <f t="shared" si="5"/>
        <v>9930</v>
      </c>
      <c r="G24" s="20">
        <f t="shared" si="5"/>
        <v>96490</v>
      </c>
      <c r="H24" s="20">
        <f t="shared" si="5"/>
        <v>359770</v>
      </c>
      <c r="I24" s="20">
        <f t="shared" si="5"/>
        <v>0</v>
      </c>
      <c r="J24" s="145">
        <f t="shared" si="5"/>
        <v>62000</v>
      </c>
      <c r="K24" s="201">
        <f t="shared" ref="K24:K30" si="6">SUM(D24:J24)</f>
        <v>696830</v>
      </c>
      <c r="L24" s="189"/>
      <c r="M24" s="207"/>
      <c r="N24" s="227"/>
      <c r="P24" s="177"/>
      <c r="R24" s="46"/>
      <c r="U24" s="48"/>
      <c r="W24" s="46"/>
      <c r="XFB24" s="19"/>
    </row>
    <row r="25" spans="2:23 16382:16384" ht="13.5" thickBot="1" x14ac:dyDescent="0.25">
      <c r="B25" s="232"/>
      <c r="C25" s="136" t="s">
        <v>56</v>
      </c>
      <c r="D25" s="146">
        <f>SUM(D20-D24)</f>
        <v>2446.3400000000256</v>
      </c>
      <c r="E25" s="147">
        <f t="shared" ref="E25:J25" si="7">SUM(E20-E24)</f>
        <v>1579.96</v>
      </c>
      <c r="F25" s="147">
        <f t="shared" si="7"/>
        <v>7271.73</v>
      </c>
      <c r="G25" s="147">
        <f t="shared" si="7"/>
        <v>32245.999999999985</v>
      </c>
      <c r="H25" s="147">
        <f t="shared" si="7"/>
        <v>-6578.2200000000303</v>
      </c>
      <c r="I25" s="147">
        <f t="shared" si="7"/>
        <v>13610.549999999997</v>
      </c>
      <c r="J25" s="148">
        <f t="shared" si="7"/>
        <v>2248.3399999999965</v>
      </c>
      <c r="K25" s="126">
        <f t="shared" si="6"/>
        <v>52824.699999999975</v>
      </c>
      <c r="L25" s="189"/>
      <c r="M25" s="191"/>
      <c r="N25" s="46" t="s">
        <v>140</v>
      </c>
      <c r="P25" s="177"/>
      <c r="R25" s="46"/>
      <c r="U25" s="48"/>
      <c r="W25" s="46"/>
      <c r="XFB25" s="23"/>
    </row>
    <row r="26" spans="2:23 16382:16384" ht="13.5" thickBot="1" x14ac:dyDescent="0.25">
      <c r="B26" s="231">
        <v>2019</v>
      </c>
      <c r="C26" s="80" t="s">
        <v>141</v>
      </c>
      <c r="D26" s="140">
        <v>201050</v>
      </c>
      <c r="E26" s="82">
        <v>4640</v>
      </c>
      <c r="F26" s="82">
        <v>14970</v>
      </c>
      <c r="G26" s="82">
        <v>155200</v>
      </c>
      <c r="H26" s="82">
        <v>371650</v>
      </c>
      <c r="I26" s="82">
        <v>0</v>
      </c>
      <c r="J26" s="141">
        <v>69000</v>
      </c>
      <c r="K26" s="133">
        <f t="shared" si="6"/>
        <v>816510</v>
      </c>
      <c r="L26" s="189"/>
      <c r="M26" s="191"/>
      <c r="N26" s="173" t="s">
        <v>136</v>
      </c>
      <c r="O26" s="178"/>
      <c r="P26" s="177"/>
      <c r="R26" s="46"/>
      <c r="U26" s="48"/>
      <c r="W26" s="46"/>
      <c r="XFB26" s="81"/>
    </row>
    <row r="27" spans="2:23 16382:16384" ht="13.5" thickBot="1" x14ac:dyDescent="0.25">
      <c r="B27" s="231"/>
      <c r="C27" s="24" t="s">
        <v>103</v>
      </c>
      <c r="D27" s="25">
        <f>D26/12*$C$28</f>
        <v>201050</v>
      </c>
      <c r="E27" s="26">
        <f t="shared" ref="E27:I27" si="8">E26/12*$C$28</f>
        <v>4640</v>
      </c>
      <c r="F27" s="26">
        <f t="shared" si="8"/>
        <v>14970</v>
      </c>
      <c r="G27" s="26">
        <f t="shared" si="8"/>
        <v>155200</v>
      </c>
      <c r="H27" s="26">
        <f t="shared" si="8"/>
        <v>371650</v>
      </c>
      <c r="I27" s="26">
        <f t="shared" si="8"/>
        <v>0</v>
      </c>
      <c r="J27" s="128">
        <f>J26/12*$C$28</f>
        <v>69000</v>
      </c>
      <c r="K27" s="124">
        <f t="shared" si="6"/>
        <v>816510</v>
      </c>
      <c r="L27" s="192"/>
      <c r="M27" s="191"/>
      <c r="N27" s="174" t="s">
        <v>137</v>
      </c>
      <c r="O27" s="188">
        <v>20787.71</v>
      </c>
      <c r="P27" s="177"/>
      <c r="R27" s="46"/>
      <c r="U27" s="48"/>
      <c r="W27" s="46"/>
      <c r="XFB27" s="26"/>
    </row>
    <row r="28" spans="2:23 16382:16384" x14ac:dyDescent="0.2">
      <c r="B28" s="231"/>
      <c r="C28" s="78">
        <v>12</v>
      </c>
      <c r="D28" s="79">
        <f>VLOOKUP($C$28,Zdroj!$B$4:$I$15,2,FALSE)</f>
        <v>181073.38</v>
      </c>
      <c r="E28" s="79">
        <f>VLOOKUP($C$28,Zdroj!$B$4:$I$15,3,FALSE)</f>
        <v>5083.18</v>
      </c>
      <c r="F28" s="79">
        <f>VLOOKUP($C$28,Zdroj!$B$4:$I$15,4,FALSE)</f>
        <v>17144.03</v>
      </c>
      <c r="G28" s="79">
        <f>VLOOKUP($C$28,Zdroj!$B$4:$I$15,5,FALSE)</f>
        <v>159686.5</v>
      </c>
      <c r="H28" s="79">
        <f>VLOOKUP($C$28,Zdroj!$B$4:$I$15,6,FALSE)</f>
        <v>359488.82</v>
      </c>
      <c r="I28" s="79">
        <f>VLOOKUP($C$28,Zdroj!$B$4:$I$15,7,FALSE)</f>
        <v>13951.23</v>
      </c>
      <c r="J28" s="79">
        <f>VLOOKUP($C$28,Zdroj!$B$4:$I$15,8,FALSE)</f>
        <v>65478.539999999994</v>
      </c>
      <c r="K28" s="125">
        <f t="shared" si="6"/>
        <v>801905.67999999993</v>
      </c>
      <c r="L28" s="189"/>
      <c r="M28" s="191"/>
      <c r="N28" s="46"/>
      <c r="O28" s="46"/>
      <c r="P28" s="177"/>
      <c r="R28" s="46"/>
      <c r="U28" s="48"/>
      <c r="W28" s="46"/>
      <c r="XFB28" s="79"/>
    </row>
    <row r="29" spans="2:23 16382:16384" ht="13.5" thickBot="1" x14ac:dyDescent="0.25">
      <c r="B29" s="232"/>
      <c r="C29" s="32" t="s">
        <v>56</v>
      </c>
      <c r="D29" s="33">
        <f>D28-D27</f>
        <v>-19976.619999999995</v>
      </c>
      <c r="E29" s="31">
        <f t="shared" ref="E29:J29" si="9">E28-E27</f>
        <v>443.18000000000029</v>
      </c>
      <c r="F29" s="31">
        <f t="shared" si="9"/>
        <v>2174.0299999999988</v>
      </c>
      <c r="G29" s="31">
        <f t="shared" si="9"/>
        <v>4486.5</v>
      </c>
      <c r="H29" s="31">
        <f t="shared" si="9"/>
        <v>-12161.179999999993</v>
      </c>
      <c r="I29" s="31">
        <f t="shared" si="9"/>
        <v>13951.23</v>
      </c>
      <c r="J29" s="129">
        <f t="shared" si="9"/>
        <v>-3521.4600000000064</v>
      </c>
      <c r="K29" s="126">
        <f t="shared" si="6"/>
        <v>-14604.319999999996</v>
      </c>
      <c r="L29" s="189"/>
      <c r="M29" s="191"/>
      <c r="N29" s="46"/>
      <c r="O29" s="46"/>
      <c r="P29" s="177"/>
      <c r="R29" s="46"/>
      <c r="U29" s="48"/>
      <c r="W29" s="46"/>
      <c r="XFB29" s="31"/>
    </row>
    <row r="30" spans="2:23 16382:16384" ht="13.5" thickBot="1" x14ac:dyDescent="0.25">
      <c r="C30" s="73" t="s">
        <v>162</v>
      </c>
      <c r="D30" s="130">
        <f>D20-D28</f>
        <v>-11227.039999999979</v>
      </c>
      <c r="E30" s="131">
        <f t="shared" ref="E30:J30" si="10">E20-E28</f>
        <v>-2263.2200000000003</v>
      </c>
      <c r="F30" s="131">
        <f t="shared" si="10"/>
        <v>57.700000000000728</v>
      </c>
      <c r="G30" s="131">
        <f t="shared" si="10"/>
        <v>-30950.500000000015</v>
      </c>
      <c r="H30" s="131">
        <f t="shared" si="10"/>
        <v>-6297.0400000000373</v>
      </c>
      <c r="I30" s="131">
        <f t="shared" si="10"/>
        <v>-340.68000000000211</v>
      </c>
      <c r="J30" s="132">
        <f t="shared" si="10"/>
        <v>-1230.1999999999971</v>
      </c>
      <c r="K30" s="127">
        <f t="shared" si="6"/>
        <v>-52250.980000000032</v>
      </c>
      <c r="L30" s="115"/>
      <c r="M30" s="184"/>
      <c r="N30" s="238" t="s">
        <v>176</v>
      </c>
      <c r="O30" s="239"/>
      <c r="P30" s="177"/>
      <c r="R30" s="46"/>
      <c r="U30" s="48"/>
      <c r="W30" s="46"/>
      <c r="XFB30" s="74"/>
    </row>
    <row r="31" spans="2:23 16382:16384" ht="13.5" thickBot="1" x14ac:dyDescent="0.25">
      <c r="C31" s="27"/>
      <c r="D31" s="68"/>
      <c r="E31" s="28"/>
      <c r="F31" s="18"/>
      <c r="G31" s="18"/>
      <c r="H31" s="18"/>
      <c r="I31" s="18"/>
      <c r="J31" s="18"/>
      <c r="K31" s="18"/>
      <c r="L31" s="115"/>
      <c r="M31" s="165"/>
      <c r="N31" s="240" t="s">
        <v>177</v>
      </c>
      <c r="O31" s="240" t="s">
        <v>178</v>
      </c>
    </row>
    <row r="32" spans="2:23 16382:16384" ht="13.5" thickBot="1" x14ac:dyDescent="0.25">
      <c r="C32" s="27"/>
      <c r="D32" s="68"/>
      <c r="E32" s="28"/>
      <c r="F32" s="18"/>
      <c r="G32" s="18"/>
      <c r="H32" s="18"/>
      <c r="J32" s="102" t="s">
        <v>89</v>
      </c>
      <c r="K32" s="106" t="s">
        <v>90</v>
      </c>
      <c r="L32" s="165"/>
      <c r="M32" s="165"/>
      <c r="N32" s="240"/>
      <c r="O32" s="240"/>
      <c r="Q32" s="47"/>
      <c r="R32" s="46"/>
      <c r="V32" s="48"/>
      <c r="W32" s="46"/>
    </row>
    <row r="33" spans="3:24" ht="12.75" customHeight="1" x14ac:dyDescent="0.2">
      <c r="C33" s="222" t="s">
        <v>173</v>
      </c>
      <c r="D33" s="209">
        <v>-106550</v>
      </c>
      <c r="E33" s="210" t="s">
        <v>57</v>
      </c>
      <c r="F33" s="211" t="s">
        <v>175</v>
      </c>
      <c r="G33" s="29"/>
      <c r="H33" s="83"/>
      <c r="I33" s="69" t="s">
        <v>160</v>
      </c>
      <c r="J33" s="103">
        <f>D21+E21+F21+G21+H21</f>
        <v>780770</v>
      </c>
      <c r="K33" s="107">
        <f>XFB21+I21+J21</f>
        <v>62000</v>
      </c>
      <c r="L33" s="168"/>
      <c r="M33" s="169"/>
      <c r="N33" s="244">
        <f>K20/(K21/12*C28)</f>
        <v>0.88951279708580044</v>
      </c>
      <c r="O33" s="241">
        <f>K20/K22</f>
        <v>1.0758071552602502</v>
      </c>
    </row>
    <row r="34" spans="3:24" ht="14.25" x14ac:dyDescent="0.2">
      <c r="C34" s="223"/>
      <c r="D34" s="212">
        <f>K22-K21-D33</f>
        <v>-39390</v>
      </c>
      <c r="E34" s="213" t="s">
        <v>57</v>
      </c>
      <c r="F34" s="217" t="s">
        <v>174</v>
      </c>
      <c r="G34" s="29"/>
      <c r="H34" s="83"/>
      <c r="I34" s="70" t="s">
        <v>161</v>
      </c>
      <c r="J34" s="104">
        <f>D22+E22+F22+G22+H22</f>
        <v>634830</v>
      </c>
      <c r="K34" s="108">
        <f>XFB22+I22+J22</f>
        <v>62000</v>
      </c>
      <c r="L34" s="168"/>
      <c r="M34" s="169"/>
      <c r="N34" s="242" t="str">
        <f>IF(L23&lt;N33, "J","L")</f>
        <v>L</v>
      </c>
      <c r="O34" s="243" t="str">
        <f>IF(K23&gt;L23, "J","L")</f>
        <v>J</v>
      </c>
    </row>
    <row r="35" spans="3:24" ht="13.5" thickBot="1" x14ac:dyDescent="0.25">
      <c r="C35" s="224"/>
      <c r="D35" s="214">
        <f>D33+D34</f>
        <v>-145940</v>
      </c>
      <c r="E35" s="215" t="s">
        <v>57</v>
      </c>
      <c r="F35" s="216" t="s">
        <v>59</v>
      </c>
      <c r="G35" s="29"/>
      <c r="H35" s="83"/>
      <c r="I35" s="71" t="s">
        <v>58</v>
      </c>
      <c r="J35" s="104">
        <f>J34-J33</f>
        <v>-145940</v>
      </c>
      <c r="K35" s="108">
        <f>K34-K33</f>
        <v>0</v>
      </c>
      <c r="L35" s="168"/>
      <c r="M35" s="169"/>
      <c r="N35" s="162"/>
      <c r="O35" s="162"/>
    </row>
    <row r="36" spans="3:24" ht="13.5" thickBot="1" x14ac:dyDescent="0.25">
      <c r="C36" s="208"/>
      <c r="G36" s="29"/>
      <c r="H36" s="29"/>
      <c r="I36" s="72" t="s">
        <v>60</v>
      </c>
      <c r="J36" s="105">
        <f>D20+E20+F20+G20+H20</f>
        <v>671795.81</v>
      </c>
      <c r="K36" s="109">
        <f>XFD20+I20+J20</f>
        <v>77858.89</v>
      </c>
      <c r="L36" s="168"/>
      <c r="M36" s="169"/>
      <c r="N36" s="162"/>
      <c r="O36" s="162"/>
    </row>
    <row r="37" spans="3:24" ht="16.5" thickBot="1" x14ac:dyDescent="0.25">
      <c r="C37" s="29"/>
      <c r="D37" s="29"/>
      <c r="E37" s="29"/>
      <c r="F37" s="29"/>
      <c r="G37" s="29"/>
      <c r="H37" s="29"/>
      <c r="I37" s="98" t="s">
        <v>61</v>
      </c>
      <c r="J37" s="228">
        <f>J36+K36</f>
        <v>749654.70000000007</v>
      </c>
      <c r="K37" s="229"/>
      <c r="L37" s="170"/>
      <c r="M37" s="169"/>
      <c r="N37" s="162"/>
      <c r="O37" s="162"/>
    </row>
    <row r="38" spans="3:24" ht="16.5" thickBot="1" x14ac:dyDescent="0.3">
      <c r="C38" s="45" t="s">
        <v>62</v>
      </c>
      <c r="D38" s="8"/>
      <c r="E38" s="8"/>
      <c r="F38" s="8"/>
      <c r="G38" s="8"/>
      <c r="H38" s="8"/>
      <c r="I38" s="158" t="s">
        <v>55</v>
      </c>
      <c r="J38" s="220">
        <f>J37/(J34+K34)</f>
        <v>1.0758071552602502</v>
      </c>
      <c r="K38" s="221"/>
      <c r="L38" s="171"/>
      <c r="M38" s="166"/>
      <c r="N38" s="163"/>
      <c r="O38" s="163"/>
      <c r="P38" s="161"/>
      <c r="R38" s="46"/>
      <c r="S38" s="47"/>
      <c r="W38" s="46"/>
      <c r="X38" s="48"/>
    </row>
    <row r="39" spans="3:24" x14ac:dyDescent="0.2">
      <c r="C39" s="45"/>
      <c r="D39" s="8"/>
      <c r="E39" s="8"/>
      <c r="F39" s="8"/>
      <c r="G39" s="8"/>
      <c r="H39" s="8"/>
      <c r="I39" s="4"/>
      <c r="J39" s="4"/>
      <c r="K39" s="4"/>
      <c r="L39" s="171"/>
      <c r="M39" s="166"/>
      <c r="N39" s="163"/>
      <c r="O39" s="163"/>
      <c r="P39" s="161"/>
      <c r="R39" s="46"/>
      <c r="S39" s="47"/>
      <c r="W39" s="46"/>
      <c r="X39" s="48"/>
    </row>
    <row r="40" spans="3:24" x14ac:dyDescent="0.2">
      <c r="C40" s="218" t="s">
        <v>172</v>
      </c>
      <c r="D40" s="84" t="s">
        <v>63</v>
      </c>
      <c r="E40" s="84" t="s">
        <v>64</v>
      </c>
      <c r="F40" s="84" t="s">
        <v>65</v>
      </c>
      <c r="G40" s="84" t="s">
        <v>66</v>
      </c>
      <c r="H40" s="84" t="s">
        <v>67</v>
      </c>
      <c r="I40" s="85" t="s">
        <v>68</v>
      </c>
      <c r="R40" s="46"/>
      <c r="S40" s="47"/>
      <c r="W40" s="46"/>
      <c r="X40" s="48"/>
    </row>
    <row r="41" spans="3:24" x14ac:dyDescent="0.2">
      <c r="C41" s="219"/>
      <c r="D41" s="86">
        <v>-0.94</v>
      </c>
      <c r="E41" s="86">
        <v>2.88</v>
      </c>
      <c r="F41" s="86">
        <v>10.61</v>
      </c>
      <c r="G41" s="86">
        <v>5.1100000000000003</v>
      </c>
      <c r="H41" s="86">
        <v>-14.69</v>
      </c>
      <c r="I41" s="87">
        <v>-47.5</v>
      </c>
    </row>
    <row r="42" spans="3:24" ht="12.75" customHeight="1" x14ac:dyDescent="0.2">
      <c r="C42" s="218" t="s">
        <v>172</v>
      </c>
      <c r="D42" s="85" t="s">
        <v>69</v>
      </c>
      <c r="E42" s="85" t="s">
        <v>70</v>
      </c>
      <c r="F42" s="85" t="s">
        <v>71</v>
      </c>
      <c r="G42" s="84" t="s">
        <v>72</v>
      </c>
      <c r="H42" s="85" t="s">
        <v>73</v>
      </c>
      <c r="I42" s="85" t="s">
        <v>74</v>
      </c>
      <c r="J42" s="4"/>
      <c r="K42" s="4"/>
      <c r="L42" s="166"/>
      <c r="M42" s="171"/>
      <c r="N42" s="163"/>
      <c r="O42" s="163"/>
    </row>
    <row r="43" spans="3:24" x14ac:dyDescent="0.2">
      <c r="C43" s="219"/>
      <c r="D43" s="87">
        <v>-62.48</v>
      </c>
      <c r="E43" s="87">
        <v>-60.87</v>
      </c>
      <c r="F43" s="87">
        <v>-48.25</v>
      </c>
      <c r="G43" s="86">
        <v>-55.27</v>
      </c>
      <c r="H43" s="87">
        <v>-53.68</v>
      </c>
      <c r="I43" s="87">
        <v>-52.3</v>
      </c>
      <c r="R43" s="46"/>
      <c r="S43" s="47"/>
      <c r="W43" s="46"/>
      <c r="X43" s="48"/>
    </row>
    <row r="44" spans="3:24" x14ac:dyDescent="0.2">
      <c r="C44" s="155"/>
      <c r="D44" s="156"/>
      <c r="E44" s="156"/>
      <c r="F44" s="156"/>
      <c r="G44" s="157"/>
      <c r="H44" s="156"/>
      <c r="I44" s="156"/>
      <c r="R44" s="46"/>
      <c r="S44" s="47"/>
      <c r="W44" s="46"/>
      <c r="X44" s="48"/>
    </row>
    <row r="45" spans="3:24" x14ac:dyDescent="0.2">
      <c r="C45" s="155"/>
      <c r="D45" s="156"/>
      <c r="E45" s="156"/>
      <c r="F45" s="156"/>
      <c r="G45" s="157"/>
      <c r="H45" s="156"/>
      <c r="I45" s="156"/>
      <c r="R45" s="46"/>
      <c r="S45" s="47"/>
      <c r="W45" s="46"/>
      <c r="X45" s="48"/>
    </row>
    <row r="46" spans="3:24" x14ac:dyDescent="0.2">
      <c r="C46" s="155"/>
      <c r="D46" s="156"/>
      <c r="E46" s="156"/>
      <c r="F46" s="156"/>
      <c r="G46" s="157"/>
      <c r="H46" s="156"/>
      <c r="I46" s="156"/>
      <c r="R46" s="46"/>
      <c r="S46" s="47"/>
      <c r="W46" s="46"/>
      <c r="X46" s="48"/>
    </row>
    <row r="47" spans="3:24" x14ac:dyDescent="0.2">
      <c r="J47" s="113" t="s">
        <v>105</v>
      </c>
    </row>
    <row r="48" spans="3:24" x14ac:dyDescent="0.2">
      <c r="C48" s="46" t="s">
        <v>87</v>
      </c>
      <c r="D48" s="88">
        <v>44196</v>
      </c>
      <c r="J48" s="46" t="s">
        <v>106</v>
      </c>
    </row>
    <row r="49" spans="3:4" x14ac:dyDescent="0.2">
      <c r="C49" s="46" t="s">
        <v>119</v>
      </c>
      <c r="D49" s="88">
        <v>44230</v>
      </c>
    </row>
    <row r="50" spans="3:4" hidden="1" x14ac:dyDescent="0.2"/>
    <row r="51" spans="3:4" hidden="1" x14ac:dyDescent="0.2"/>
  </sheetData>
  <mergeCells count="12">
    <mergeCell ref="B20:B25"/>
    <mergeCell ref="B26:B29"/>
    <mergeCell ref="N31:N32"/>
    <mergeCell ref="O31:O32"/>
    <mergeCell ref="N30:O30"/>
    <mergeCell ref="C40:C41"/>
    <mergeCell ref="C42:C43"/>
    <mergeCell ref="J38:K38"/>
    <mergeCell ref="C33:C35"/>
    <mergeCell ref="N7:O7"/>
    <mergeCell ref="N23:N24"/>
    <mergeCell ref="J37:K37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3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zoomScale="80" zoomScaleNormal="80" workbookViewId="0">
      <pane ySplit="96" topLeftCell="A97" activePane="bottomLeft" state="frozen"/>
      <selection pane="bottomLeft" activeCell="A37" sqref="A37:XFD95"/>
    </sheetView>
  </sheetViews>
  <sheetFormatPr defaultRowHeight="12.75" x14ac:dyDescent="0.2"/>
  <cols>
    <col min="1" max="1" width="25.83203125" style="1" customWidth="1"/>
    <col min="2" max="2" width="5" style="97" bestFit="1" customWidth="1"/>
    <col min="3" max="3" width="15.1640625" style="2" customWidth="1"/>
    <col min="4" max="12" width="14" style="2" customWidth="1"/>
    <col min="13" max="15" width="14.83203125" style="2" customWidth="1"/>
  </cols>
  <sheetData>
    <row r="1" spans="1:9" x14ac:dyDescent="0.2">
      <c r="C1" s="9" t="s">
        <v>19</v>
      </c>
      <c r="D1" s="10" t="s">
        <v>20</v>
      </c>
      <c r="E1" s="11" t="s">
        <v>21</v>
      </c>
      <c r="F1" s="11" t="s">
        <v>22</v>
      </c>
      <c r="G1" s="11" t="s">
        <v>23</v>
      </c>
      <c r="H1" s="9" t="s">
        <v>19</v>
      </c>
      <c r="I1" s="11" t="s">
        <v>24</v>
      </c>
    </row>
    <row r="2" spans="1:9" ht="13.5" thickBot="1" x14ac:dyDescent="0.25">
      <c r="A2" s="154" t="s">
        <v>134</v>
      </c>
      <c r="C2" s="12" t="s">
        <v>26</v>
      </c>
      <c r="D2" s="12" t="s">
        <v>27</v>
      </c>
      <c r="E2" s="13" t="s">
        <v>28</v>
      </c>
      <c r="F2" s="12" t="s">
        <v>29</v>
      </c>
      <c r="G2" s="12" t="s">
        <v>30</v>
      </c>
      <c r="H2" s="12" t="s">
        <v>31</v>
      </c>
      <c r="I2" s="13" t="s">
        <v>32</v>
      </c>
    </row>
    <row r="3" spans="1:9" ht="26.25" thickBot="1" x14ac:dyDescent="0.25">
      <c r="A3" s="91" t="s">
        <v>7</v>
      </c>
      <c r="C3" s="14" t="s">
        <v>35</v>
      </c>
      <c r="D3" s="15" t="s">
        <v>36</v>
      </c>
      <c r="E3" s="16" t="s">
        <v>38</v>
      </c>
      <c r="F3" s="15" t="s">
        <v>39</v>
      </c>
      <c r="G3" s="15" t="s">
        <v>6</v>
      </c>
      <c r="H3" s="16" t="s">
        <v>40</v>
      </c>
      <c r="I3" s="17" t="s">
        <v>41</v>
      </c>
    </row>
    <row r="4" spans="1:9" x14ac:dyDescent="0.2">
      <c r="A4" s="93" t="s">
        <v>155</v>
      </c>
      <c r="B4" s="96">
        <v>1</v>
      </c>
      <c r="C4" s="99">
        <f>C22</f>
        <v>16138.51</v>
      </c>
      <c r="D4" s="99">
        <f t="shared" ref="D4:I4" si="0">D22</f>
        <v>447.88</v>
      </c>
      <c r="E4" s="99">
        <f t="shared" si="0"/>
        <v>1282.17</v>
      </c>
      <c r="F4" s="99">
        <f t="shared" si="0"/>
        <v>9972.6200000000008</v>
      </c>
      <c r="G4" s="99">
        <f t="shared" si="0"/>
        <v>31094.82</v>
      </c>
      <c r="H4" s="99">
        <f t="shared" si="0"/>
        <v>1257.71</v>
      </c>
      <c r="I4" s="99">
        <f t="shared" si="0"/>
        <v>1328.18</v>
      </c>
    </row>
    <row r="5" spans="1:9" x14ac:dyDescent="0.2">
      <c r="A5" s="93" t="s">
        <v>156</v>
      </c>
      <c r="B5" s="96">
        <v>2</v>
      </c>
      <c r="C5" s="19">
        <f t="shared" ref="C5:I15" si="1">C4+C23</f>
        <v>31325.800000000003</v>
      </c>
      <c r="D5" s="19">
        <f t="shared" si="1"/>
        <v>688.11</v>
      </c>
      <c r="E5" s="19">
        <f t="shared" si="1"/>
        <v>2757.3500000000004</v>
      </c>
      <c r="F5" s="19">
        <f t="shared" si="1"/>
        <v>10917.02</v>
      </c>
      <c r="G5" s="19">
        <f t="shared" si="1"/>
        <v>67842.720000000001</v>
      </c>
      <c r="H5" s="19">
        <f t="shared" si="1"/>
        <v>2441.29</v>
      </c>
      <c r="I5" s="19">
        <f t="shared" si="1"/>
        <v>1558.49</v>
      </c>
    </row>
    <row r="6" spans="1:9" x14ac:dyDescent="0.2">
      <c r="A6" s="93" t="s">
        <v>163</v>
      </c>
      <c r="B6" s="96">
        <v>3</v>
      </c>
      <c r="C6" s="19">
        <f t="shared" si="1"/>
        <v>44152.87</v>
      </c>
      <c r="D6" s="19">
        <f t="shared" si="1"/>
        <v>1205.96</v>
      </c>
      <c r="E6" s="19">
        <f t="shared" si="1"/>
        <v>3672.4500000000003</v>
      </c>
      <c r="F6" s="19">
        <f t="shared" si="1"/>
        <v>37835.69</v>
      </c>
      <c r="G6" s="19">
        <f t="shared" si="1"/>
        <v>84768.86</v>
      </c>
      <c r="H6" s="19">
        <f t="shared" si="1"/>
        <v>3440.93</v>
      </c>
      <c r="I6" s="19">
        <f t="shared" si="1"/>
        <v>1697.52</v>
      </c>
    </row>
    <row r="7" spans="1:9" x14ac:dyDescent="0.2">
      <c r="A7" s="93" t="s">
        <v>164</v>
      </c>
      <c r="B7" s="96">
        <v>4</v>
      </c>
      <c r="C7" s="19">
        <f t="shared" si="1"/>
        <v>55839.17</v>
      </c>
      <c r="D7" s="19">
        <f t="shared" si="1"/>
        <v>1205.96</v>
      </c>
      <c r="E7" s="19">
        <f t="shared" si="1"/>
        <v>4749.0300000000007</v>
      </c>
      <c r="F7" s="19">
        <f t="shared" si="1"/>
        <v>46613.520000000004</v>
      </c>
      <c r="G7" s="19">
        <f t="shared" si="1"/>
        <v>107205.7</v>
      </c>
      <c r="H7" s="19">
        <f t="shared" si="1"/>
        <v>4351.67</v>
      </c>
      <c r="I7" s="19">
        <f t="shared" si="1"/>
        <v>1910.1399999999999</v>
      </c>
    </row>
    <row r="8" spans="1:9" x14ac:dyDescent="0.2">
      <c r="A8" s="93" t="s">
        <v>165</v>
      </c>
      <c r="B8" s="96">
        <v>5</v>
      </c>
      <c r="C8" s="19">
        <f t="shared" si="1"/>
        <v>70126.19</v>
      </c>
      <c r="D8" s="19">
        <f t="shared" si="1"/>
        <v>1205.96</v>
      </c>
      <c r="E8" s="19">
        <f t="shared" si="1"/>
        <v>5994.920000000001</v>
      </c>
      <c r="F8" s="19">
        <f t="shared" si="1"/>
        <v>47244.750000000007</v>
      </c>
      <c r="G8" s="19">
        <f t="shared" si="1"/>
        <v>143732.41</v>
      </c>
      <c r="H8" s="19">
        <f t="shared" si="1"/>
        <v>5465.09</v>
      </c>
      <c r="I8" s="19">
        <f t="shared" si="1"/>
        <v>1987.9099999999999</v>
      </c>
    </row>
    <row r="9" spans="1:9" x14ac:dyDescent="0.2">
      <c r="A9" s="93" t="s">
        <v>166</v>
      </c>
      <c r="B9" s="96">
        <v>6</v>
      </c>
      <c r="C9" s="19">
        <f t="shared" si="1"/>
        <v>85904.21</v>
      </c>
      <c r="D9" s="19">
        <f t="shared" si="1"/>
        <v>1205.96</v>
      </c>
      <c r="E9" s="19">
        <f t="shared" si="1"/>
        <v>7467.2000000000007</v>
      </c>
      <c r="F9" s="19">
        <f t="shared" si="1"/>
        <v>69959.070000000007</v>
      </c>
      <c r="G9" s="19">
        <f t="shared" si="1"/>
        <v>170395.64</v>
      </c>
      <c r="H9" s="19">
        <f t="shared" si="1"/>
        <v>6694.7</v>
      </c>
      <c r="I9" s="19">
        <f t="shared" si="1"/>
        <v>48947.47</v>
      </c>
    </row>
    <row r="10" spans="1:9" x14ac:dyDescent="0.2">
      <c r="A10" s="93" t="s">
        <v>167</v>
      </c>
      <c r="B10" s="96">
        <v>7</v>
      </c>
      <c r="C10" s="19">
        <f t="shared" si="1"/>
        <v>102184.57</v>
      </c>
      <c r="D10" s="19">
        <f t="shared" si="1"/>
        <v>2223.3200000000002</v>
      </c>
      <c r="E10" s="19">
        <f t="shared" si="1"/>
        <v>9328.01</v>
      </c>
      <c r="F10" s="19">
        <f t="shared" si="1"/>
        <v>103307.23000000001</v>
      </c>
      <c r="G10" s="19">
        <f t="shared" si="1"/>
        <v>199565.83000000002</v>
      </c>
      <c r="H10" s="19">
        <f t="shared" si="1"/>
        <v>7963.46</v>
      </c>
      <c r="I10" s="19">
        <f t="shared" si="1"/>
        <v>50158.87</v>
      </c>
    </row>
    <row r="11" spans="1:9" x14ac:dyDescent="0.2">
      <c r="A11" s="93" t="s">
        <v>168</v>
      </c>
      <c r="B11" s="96">
        <v>8</v>
      </c>
      <c r="C11" s="19">
        <f t="shared" si="1"/>
        <v>118192.90000000001</v>
      </c>
      <c r="D11" s="19">
        <f t="shared" si="1"/>
        <v>2223.3200000000002</v>
      </c>
      <c r="E11" s="19">
        <f t="shared" si="1"/>
        <v>11060.39</v>
      </c>
      <c r="F11" s="19">
        <f t="shared" si="1"/>
        <v>103307.23000000001</v>
      </c>
      <c r="G11" s="19">
        <f t="shared" si="1"/>
        <v>236069.73</v>
      </c>
      <c r="H11" s="19">
        <f t="shared" si="1"/>
        <v>9211.02</v>
      </c>
      <c r="I11" s="19">
        <f t="shared" si="1"/>
        <v>50411.18</v>
      </c>
    </row>
    <row r="12" spans="1:9" x14ac:dyDescent="0.2">
      <c r="A12" s="93" t="s">
        <v>169</v>
      </c>
      <c r="B12" s="96">
        <v>9</v>
      </c>
      <c r="C12" s="19">
        <f t="shared" si="1"/>
        <v>131822.81</v>
      </c>
      <c r="D12" s="19">
        <f t="shared" si="1"/>
        <v>2869.58</v>
      </c>
      <c r="E12" s="19">
        <f t="shared" si="1"/>
        <v>12778.869999999999</v>
      </c>
      <c r="F12" s="19">
        <f t="shared" si="1"/>
        <v>118385.82</v>
      </c>
      <c r="G12" s="19">
        <f t="shared" si="1"/>
        <v>260473.16</v>
      </c>
      <c r="H12" s="19">
        <f t="shared" si="1"/>
        <v>10158.27</v>
      </c>
      <c r="I12" s="19">
        <f t="shared" si="1"/>
        <v>50713.67</v>
      </c>
    </row>
    <row r="13" spans="1:9" x14ac:dyDescent="0.2">
      <c r="A13" s="93" t="s">
        <v>170</v>
      </c>
      <c r="B13" s="96">
        <v>10</v>
      </c>
      <c r="C13" s="19">
        <f t="shared" si="1"/>
        <v>147267.81</v>
      </c>
      <c r="D13" s="19">
        <f t="shared" si="1"/>
        <v>3328.55</v>
      </c>
      <c r="E13" s="19">
        <f t="shared" si="1"/>
        <v>14414.56</v>
      </c>
      <c r="F13" s="19">
        <f t="shared" si="1"/>
        <v>131987.76</v>
      </c>
      <c r="G13" s="19">
        <f t="shared" si="1"/>
        <v>287200.44</v>
      </c>
      <c r="H13" s="19">
        <f t="shared" si="1"/>
        <v>11347.74</v>
      </c>
      <c r="I13" s="19">
        <f t="shared" si="1"/>
        <v>51031.049999999996</v>
      </c>
    </row>
    <row r="14" spans="1:9" x14ac:dyDescent="0.2">
      <c r="A14" s="93" t="s">
        <v>171</v>
      </c>
      <c r="B14" s="96">
        <v>11</v>
      </c>
      <c r="C14" s="19">
        <f t="shared" si="1"/>
        <v>163010.76</v>
      </c>
      <c r="D14" s="19">
        <f t="shared" si="1"/>
        <v>3532.6800000000003</v>
      </c>
      <c r="E14" s="19">
        <f t="shared" si="1"/>
        <v>15832.699999999999</v>
      </c>
      <c r="F14" s="19">
        <f t="shared" si="1"/>
        <v>132551.58000000002</v>
      </c>
      <c r="G14" s="19">
        <f t="shared" si="1"/>
        <v>327133.7</v>
      </c>
      <c r="H14" s="19">
        <f t="shared" si="1"/>
        <v>12560.16</v>
      </c>
      <c r="I14" s="19">
        <f t="shared" si="1"/>
        <v>51116.899999999994</v>
      </c>
    </row>
    <row r="15" spans="1:9" x14ac:dyDescent="0.2">
      <c r="A15" s="93" t="s">
        <v>157</v>
      </c>
      <c r="B15" s="96">
        <v>12</v>
      </c>
      <c r="C15" s="19">
        <f>C14+C33</f>
        <v>181073.38</v>
      </c>
      <c r="D15" s="19">
        <f t="shared" si="1"/>
        <v>5083.18</v>
      </c>
      <c r="E15" s="19">
        <f t="shared" si="1"/>
        <v>17144.03</v>
      </c>
      <c r="F15" s="19">
        <f t="shared" si="1"/>
        <v>159686.5</v>
      </c>
      <c r="G15" s="19">
        <f t="shared" si="1"/>
        <v>359488.82</v>
      </c>
      <c r="H15" s="19">
        <f t="shared" si="1"/>
        <v>13951.23</v>
      </c>
      <c r="I15" s="19">
        <f t="shared" si="1"/>
        <v>65478.539999999994</v>
      </c>
    </row>
    <row r="16" spans="1:9" x14ac:dyDescent="0.2">
      <c r="A16" s="93"/>
    </row>
    <row r="17" spans="1:15" x14ac:dyDescent="0.2">
      <c r="A17" s="93"/>
    </row>
    <row r="18" spans="1:15" ht="15.75" x14ac:dyDescent="0.25">
      <c r="B18" s="75" t="s">
        <v>9</v>
      </c>
      <c r="C18" s="11" t="s">
        <v>10</v>
      </c>
      <c r="D18" s="11" t="s">
        <v>11</v>
      </c>
      <c r="E18" s="11" t="s">
        <v>13</v>
      </c>
      <c r="F18" s="11" t="s">
        <v>14</v>
      </c>
      <c r="G18" s="11" t="s">
        <v>15</v>
      </c>
      <c r="H18" s="11" t="s">
        <v>16</v>
      </c>
      <c r="I18" s="11" t="s">
        <v>17</v>
      </c>
    </row>
    <row r="19" spans="1:15" x14ac:dyDescent="0.2">
      <c r="A19" s="46"/>
      <c r="B19" s="11" t="s">
        <v>18</v>
      </c>
      <c r="C19" s="11" t="s">
        <v>19</v>
      </c>
      <c r="D19" s="11" t="s">
        <v>20</v>
      </c>
      <c r="E19" s="44" t="s">
        <v>21</v>
      </c>
      <c r="F19" s="44" t="s">
        <v>22</v>
      </c>
      <c r="G19" s="44" t="s">
        <v>23</v>
      </c>
      <c r="H19" s="11" t="s">
        <v>19</v>
      </c>
      <c r="I19" s="11" t="s">
        <v>24</v>
      </c>
      <c r="J19" s="4"/>
    </row>
    <row r="20" spans="1:15" ht="13.5" thickBot="1" x14ac:dyDescent="0.25">
      <c r="A20" s="46"/>
      <c r="B20" s="76" t="s">
        <v>25</v>
      </c>
      <c r="C20" s="42" t="s">
        <v>26</v>
      </c>
      <c r="D20" s="42" t="s">
        <v>27</v>
      </c>
      <c r="E20" s="42" t="s">
        <v>29</v>
      </c>
      <c r="F20" s="42" t="s">
        <v>30</v>
      </c>
      <c r="G20" s="42" t="s">
        <v>31</v>
      </c>
      <c r="H20" s="43" t="s">
        <v>32</v>
      </c>
      <c r="I20" s="43" t="s">
        <v>33</v>
      </c>
      <c r="J20" s="4"/>
    </row>
    <row r="21" spans="1:15" ht="26.25" thickBot="1" x14ac:dyDescent="0.25">
      <c r="A21" s="91" t="s">
        <v>7</v>
      </c>
      <c r="B21" s="95"/>
      <c r="C21" s="35" t="s">
        <v>35</v>
      </c>
      <c r="D21" s="36" t="s">
        <v>36</v>
      </c>
      <c r="E21" s="37" t="s">
        <v>88</v>
      </c>
      <c r="F21" s="36" t="s">
        <v>39</v>
      </c>
      <c r="G21" s="36" t="s">
        <v>6</v>
      </c>
      <c r="H21" s="37" t="s">
        <v>40</v>
      </c>
      <c r="I21" s="77" t="s">
        <v>41</v>
      </c>
      <c r="O21"/>
    </row>
    <row r="22" spans="1:15" x14ac:dyDescent="0.2">
      <c r="A22" s="93" t="s">
        <v>155</v>
      </c>
      <c r="B22" s="96">
        <v>1</v>
      </c>
      <c r="C22" s="99">
        <v>16138.51</v>
      </c>
      <c r="D22" s="100">
        <v>447.88</v>
      </c>
      <c r="E22" s="100">
        <v>1282.17</v>
      </c>
      <c r="F22" s="100">
        <v>9972.6200000000008</v>
      </c>
      <c r="G22" s="100">
        <v>31094.82</v>
      </c>
      <c r="H22" s="100">
        <v>1257.71</v>
      </c>
      <c r="I22" s="101">
        <v>1328.18</v>
      </c>
      <c r="O22"/>
    </row>
    <row r="23" spans="1:15" x14ac:dyDescent="0.2">
      <c r="A23" s="93" t="s">
        <v>156</v>
      </c>
      <c r="B23" s="96">
        <v>2</v>
      </c>
      <c r="C23" s="19">
        <v>15187.29</v>
      </c>
      <c r="D23" s="20">
        <v>240.23</v>
      </c>
      <c r="E23" s="20">
        <v>1475.18</v>
      </c>
      <c r="F23" s="20">
        <v>944.4</v>
      </c>
      <c r="G23" s="20">
        <v>36747.9</v>
      </c>
      <c r="H23" s="20">
        <v>1183.58</v>
      </c>
      <c r="I23" s="21">
        <v>230.31</v>
      </c>
      <c r="O23"/>
    </row>
    <row r="24" spans="1:15" x14ac:dyDescent="0.2">
      <c r="A24" s="93" t="s">
        <v>163</v>
      </c>
      <c r="B24" s="96">
        <v>3</v>
      </c>
      <c r="C24" s="19">
        <v>12827.07</v>
      </c>
      <c r="D24" s="20">
        <v>517.85</v>
      </c>
      <c r="E24" s="20">
        <v>915.1</v>
      </c>
      <c r="F24" s="20">
        <v>26918.67</v>
      </c>
      <c r="G24" s="20">
        <v>16926.14</v>
      </c>
      <c r="H24" s="20">
        <v>999.64</v>
      </c>
      <c r="I24" s="21">
        <v>139.03</v>
      </c>
      <c r="O24"/>
    </row>
    <row r="25" spans="1:15" x14ac:dyDescent="0.2">
      <c r="A25" s="93" t="s">
        <v>164</v>
      </c>
      <c r="B25" s="96">
        <v>4</v>
      </c>
      <c r="C25" s="19">
        <v>11686.3</v>
      </c>
      <c r="D25" s="20">
        <v>0</v>
      </c>
      <c r="E25" s="20">
        <v>1076.58</v>
      </c>
      <c r="F25" s="20">
        <v>8777.83</v>
      </c>
      <c r="G25" s="20">
        <v>22436.84</v>
      </c>
      <c r="H25" s="20">
        <v>910.74</v>
      </c>
      <c r="I25" s="21">
        <v>212.62</v>
      </c>
      <c r="O25"/>
    </row>
    <row r="26" spans="1:15" x14ac:dyDescent="0.2">
      <c r="A26" s="93" t="s">
        <v>165</v>
      </c>
      <c r="B26" s="96">
        <v>5</v>
      </c>
      <c r="C26" s="19">
        <v>14287.02</v>
      </c>
      <c r="D26" s="20">
        <v>0</v>
      </c>
      <c r="E26" s="20">
        <v>1245.8900000000001</v>
      </c>
      <c r="F26" s="20">
        <v>631.23</v>
      </c>
      <c r="G26" s="20">
        <v>36526.71</v>
      </c>
      <c r="H26" s="20">
        <v>1113.42</v>
      </c>
      <c r="I26" s="21">
        <v>77.77</v>
      </c>
      <c r="O26"/>
    </row>
    <row r="27" spans="1:15" x14ac:dyDescent="0.2">
      <c r="A27" s="93" t="s">
        <v>166</v>
      </c>
      <c r="B27" s="96">
        <v>6</v>
      </c>
      <c r="C27" s="19">
        <v>15778.02</v>
      </c>
      <c r="D27" s="20">
        <v>0</v>
      </c>
      <c r="E27" s="20">
        <v>1472.28</v>
      </c>
      <c r="F27" s="20">
        <v>22714.32</v>
      </c>
      <c r="G27" s="20">
        <v>26663.23</v>
      </c>
      <c r="H27" s="20">
        <v>1229.6099999999999</v>
      </c>
      <c r="I27" s="21">
        <v>46959.56</v>
      </c>
      <c r="O27"/>
    </row>
    <row r="28" spans="1:15" x14ac:dyDescent="0.2">
      <c r="A28" s="93" t="s">
        <v>167</v>
      </c>
      <c r="B28" s="96">
        <v>7</v>
      </c>
      <c r="C28" s="19">
        <v>16280.36</v>
      </c>
      <c r="D28" s="20">
        <v>1017.36</v>
      </c>
      <c r="E28" s="20">
        <v>1860.81</v>
      </c>
      <c r="F28" s="20">
        <v>33348.160000000003</v>
      </c>
      <c r="G28" s="20">
        <v>29170.19</v>
      </c>
      <c r="H28" s="20">
        <v>1268.76</v>
      </c>
      <c r="I28" s="21">
        <v>1211.4000000000001</v>
      </c>
      <c r="O28"/>
    </row>
    <row r="29" spans="1:15" x14ac:dyDescent="0.2">
      <c r="A29" s="93" t="s">
        <v>168</v>
      </c>
      <c r="B29" s="96">
        <v>8</v>
      </c>
      <c r="C29" s="19">
        <v>16008.33</v>
      </c>
      <c r="D29" s="20">
        <v>0</v>
      </c>
      <c r="E29" s="20">
        <v>1732.38</v>
      </c>
      <c r="F29" s="20">
        <v>0</v>
      </c>
      <c r="G29" s="20">
        <v>36503.9</v>
      </c>
      <c r="H29" s="20">
        <v>1247.56</v>
      </c>
      <c r="I29" s="21">
        <v>252.31</v>
      </c>
      <c r="O29"/>
    </row>
    <row r="30" spans="1:15" x14ac:dyDescent="0.2">
      <c r="A30" s="93" t="s">
        <v>169</v>
      </c>
      <c r="B30" s="96">
        <v>9</v>
      </c>
      <c r="C30" s="19">
        <v>13629.91</v>
      </c>
      <c r="D30" s="20">
        <v>646.26</v>
      </c>
      <c r="E30" s="20">
        <v>1718.48</v>
      </c>
      <c r="F30" s="20">
        <v>15078.59</v>
      </c>
      <c r="G30" s="20">
        <v>24403.43</v>
      </c>
      <c r="H30" s="20">
        <v>947.25</v>
      </c>
      <c r="I30" s="21">
        <v>302.49</v>
      </c>
      <c r="O30"/>
    </row>
    <row r="31" spans="1:15" x14ac:dyDescent="0.2">
      <c r="A31" s="93" t="s">
        <v>170</v>
      </c>
      <c r="B31" s="96">
        <v>10</v>
      </c>
      <c r="C31" s="19">
        <v>15445</v>
      </c>
      <c r="D31" s="20">
        <v>458.97</v>
      </c>
      <c r="E31" s="20">
        <v>1635.69</v>
      </c>
      <c r="F31" s="20">
        <v>13601.94</v>
      </c>
      <c r="G31" s="20">
        <v>26727.279999999999</v>
      </c>
      <c r="H31" s="20">
        <v>1189.47</v>
      </c>
      <c r="I31" s="21">
        <v>317.38</v>
      </c>
      <c r="O31"/>
    </row>
    <row r="32" spans="1:15" x14ac:dyDescent="0.2">
      <c r="A32" s="93" t="s">
        <v>171</v>
      </c>
      <c r="B32" s="96">
        <v>11</v>
      </c>
      <c r="C32" s="19">
        <v>15742.95</v>
      </c>
      <c r="D32" s="20">
        <v>204.13</v>
      </c>
      <c r="E32" s="20">
        <v>1418.14</v>
      </c>
      <c r="F32" s="20">
        <v>563.82000000000005</v>
      </c>
      <c r="G32" s="20">
        <v>39933.26</v>
      </c>
      <c r="H32" s="20">
        <v>1212.42</v>
      </c>
      <c r="I32" s="21">
        <v>85.85</v>
      </c>
      <c r="O32"/>
    </row>
    <row r="33" spans="1:15" x14ac:dyDescent="0.2">
      <c r="A33" s="93" t="s">
        <v>157</v>
      </c>
      <c r="B33" s="96">
        <v>12</v>
      </c>
      <c r="C33" s="180">
        <v>18062.62</v>
      </c>
      <c r="D33" s="181">
        <v>1550.5</v>
      </c>
      <c r="E33" s="181">
        <v>1311.33</v>
      </c>
      <c r="F33" s="181">
        <v>27134.92</v>
      </c>
      <c r="G33" s="181">
        <v>32355.119999999999</v>
      </c>
      <c r="H33" s="181">
        <v>1391.07</v>
      </c>
      <c r="I33" s="182">
        <v>14361.64</v>
      </c>
      <c r="O33"/>
    </row>
    <row r="34" spans="1:15" x14ac:dyDescent="0.2">
      <c r="B34" s="96"/>
      <c r="O34"/>
    </row>
    <row r="35" spans="1:15" x14ac:dyDescent="0.2">
      <c r="A35" s="93"/>
      <c r="O35"/>
    </row>
    <row r="36" spans="1:15" x14ac:dyDescent="0.2">
      <c r="O36"/>
    </row>
    <row r="39" spans="1:15" x14ac:dyDescent="0.2">
      <c r="C39" s="9" t="s">
        <v>19</v>
      </c>
      <c r="D39" s="10" t="s">
        <v>20</v>
      </c>
      <c r="E39" s="11" t="s">
        <v>21</v>
      </c>
      <c r="F39" s="11" t="s">
        <v>22</v>
      </c>
      <c r="G39" s="11" t="s">
        <v>23</v>
      </c>
      <c r="H39" s="9" t="s">
        <v>19</v>
      </c>
      <c r="I39" s="11" t="s">
        <v>24</v>
      </c>
    </row>
    <row r="40" spans="1:15" ht="13.5" thickBot="1" x14ac:dyDescent="0.25">
      <c r="C40" s="12" t="s">
        <v>26</v>
      </c>
      <c r="D40" s="12" t="s">
        <v>27</v>
      </c>
      <c r="E40" s="13" t="s">
        <v>28</v>
      </c>
      <c r="F40" s="12" t="s">
        <v>29</v>
      </c>
      <c r="G40" s="12" t="s">
        <v>30</v>
      </c>
      <c r="H40" s="12" t="s">
        <v>31</v>
      </c>
      <c r="I40" s="13" t="s">
        <v>32</v>
      </c>
    </row>
    <row r="41" spans="1:15" ht="26.25" thickBot="1" x14ac:dyDescent="0.25">
      <c r="A41" s="154" t="s">
        <v>134</v>
      </c>
      <c r="C41" s="14" t="s">
        <v>35</v>
      </c>
      <c r="D41" s="15" t="s">
        <v>36</v>
      </c>
      <c r="E41" s="16" t="s">
        <v>38</v>
      </c>
      <c r="F41" s="15" t="s">
        <v>39</v>
      </c>
      <c r="G41" s="15" t="s">
        <v>6</v>
      </c>
      <c r="H41" s="16" t="s">
        <v>40</v>
      </c>
      <c r="I41" s="17" t="s">
        <v>41</v>
      </c>
    </row>
    <row r="42" spans="1:15" ht="13.5" thickBot="1" x14ac:dyDescent="0.25">
      <c r="A42" s="91" t="s">
        <v>7</v>
      </c>
      <c r="B42" s="95"/>
    </row>
    <row r="43" spans="1:15" x14ac:dyDescent="0.2">
      <c r="A43" s="93" t="s">
        <v>142</v>
      </c>
      <c r="B43" s="96">
        <v>1</v>
      </c>
      <c r="C43" s="99">
        <f>C61</f>
        <v>13953.01</v>
      </c>
      <c r="D43" s="99">
        <f t="shared" ref="D43:I43" si="2">D61</f>
        <v>337.98</v>
      </c>
      <c r="E43" s="99">
        <f t="shared" si="2"/>
        <v>955.83</v>
      </c>
      <c r="F43" s="99">
        <f t="shared" si="2"/>
        <v>3852.46</v>
      </c>
      <c r="G43" s="99">
        <f t="shared" si="2"/>
        <v>27336.63</v>
      </c>
      <c r="H43" s="99">
        <f t="shared" si="2"/>
        <v>1082.6400000000001</v>
      </c>
      <c r="I43" s="99">
        <f t="shared" si="2"/>
        <v>3611.61</v>
      </c>
    </row>
    <row r="44" spans="1:15" x14ac:dyDescent="0.2">
      <c r="A44" s="93" t="s">
        <v>143</v>
      </c>
      <c r="B44" s="96">
        <v>2</v>
      </c>
      <c r="C44" s="19">
        <f t="shared" ref="C44:C54" si="3">C43+C62</f>
        <v>27717.02</v>
      </c>
      <c r="D44" s="19">
        <f t="shared" ref="D44:D54" si="4">D43+D62</f>
        <v>512.48</v>
      </c>
      <c r="E44" s="19">
        <f t="shared" ref="E44:E54" si="5">E43+E62</f>
        <v>2377.65</v>
      </c>
      <c r="F44" s="19">
        <f t="shared" ref="F44:F54" si="6">F43+F62</f>
        <v>4635.6099999999997</v>
      </c>
      <c r="G44" s="19">
        <f t="shared" ref="G44:G54" si="7">G43+G62</f>
        <v>65863.240000000005</v>
      </c>
      <c r="H44" s="19">
        <f t="shared" ref="H44:H54" si="8">H43+H62</f>
        <v>2146.5500000000002</v>
      </c>
      <c r="I44" s="19">
        <f t="shared" ref="I44:I54" si="9">I43+I62</f>
        <v>3800.6800000000003</v>
      </c>
    </row>
    <row r="45" spans="1:15" x14ac:dyDescent="0.2">
      <c r="A45" s="93" t="s">
        <v>144</v>
      </c>
      <c r="B45" s="96">
        <v>3</v>
      </c>
      <c r="C45" s="19">
        <f t="shared" si="3"/>
        <v>39105.82</v>
      </c>
      <c r="D45" s="19">
        <f t="shared" si="4"/>
        <v>1015.33</v>
      </c>
      <c r="E45" s="19">
        <f t="shared" si="5"/>
        <v>3173.9</v>
      </c>
      <c r="F45" s="19">
        <f t="shared" si="6"/>
        <v>30300.15</v>
      </c>
      <c r="G45" s="19">
        <f t="shared" si="7"/>
        <v>83948.73000000001</v>
      </c>
      <c r="H45" s="19">
        <f t="shared" si="8"/>
        <v>3026.8700000000003</v>
      </c>
      <c r="I45" s="19">
        <f t="shared" si="9"/>
        <v>4146.7300000000005</v>
      </c>
    </row>
    <row r="46" spans="1:15" x14ac:dyDescent="0.2">
      <c r="A46" s="93" t="s">
        <v>145</v>
      </c>
      <c r="B46" s="96">
        <v>4</v>
      </c>
      <c r="C46" s="19">
        <f t="shared" si="3"/>
        <v>48706.65</v>
      </c>
      <c r="D46" s="19">
        <f t="shared" si="4"/>
        <v>1015.33</v>
      </c>
      <c r="E46" s="19">
        <f t="shared" si="5"/>
        <v>4122.2</v>
      </c>
      <c r="F46" s="19">
        <f t="shared" si="6"/>
        <v>38639.93</v>
      </c>
      <c r="G46" s="19">
        <f t="shared" si="7"/>
        <v>104479.12000000001</v>
      </c>
      <c r="H46" s="19">
        <f t="shared" si="8"/>
        <v>3768.9800000000005</v>
      </c>
      <c r="I46" s="19">
        <f t="shared" si="9"/>
        <v>4410.93</v>
      </c>
    </row>
    <row r="47" spans="1:15" x14ac:dyDescent="0.2">
      <c r="A47" s="93" t="s">
        <v>146</v>
      </c>
      <c r="B47" s="96">
        <v>5</v>
      </c>
      <c r="C47" s="19">
        <f t="shared" si="3"/>
        <v>61413.630000000005</v>
      </c>
      <c r="D47" s="19">
        <f t="shared" si="4"/>
        <v>1015.33</v>
      </c>
      <c r="E47" s="19">
        <f t="shared" si="5"/>
        <v>5245.38</v>
      </c>
      <c r="F47" s="19">
        <f t="shared" si="6"/>
        <v>38707.94</v>
      </c>
      <c r="G47" s="19">
        <f t="shared" si="7"/>
        <v>137721.02000000002</v>
      </c>
      <c r="H47" s="19">
        <f t="shared" si="8"/>
        <v>4751.1900000000005</v>
      </c>
      <c r="I47" s="19">
        <f t="shared" si="9"/>
        <v>4507.3500000000004</v>
      </c>
    </row>
    <row r="48" spans="1:15" x14ac:dyDescent="0.2">
      <c r="A48" s="93" t="s">
        <v>147</v>
      </c>
      <c r="B48" s="96">
        <v>6</v>
      </c>
      <c r="C48" s="19">
        <f t="shared" si="3"/>
        <v>76090.62000000001</v>
      </c>
      <c r="D48" s="19">
        <f t="shared" si="4"/>
        <v>1015.33</v>
      </c>
      <c r="E48" s="19">
        <f t="shared" si="5"/>
        <v>6560.29</v>
      </c>
      <c r="F48" s="19">
        <f t="shared" si="6"/>
        <v>66209.77</v>
      </c>
      <c r="G48" s="19">
        <f t="shared" si="7"/>
        <v>162039.88</v>
      </c>
      <c r="H48" s="19">
        <f t="shared" si="8"/>
        <v>5885.67</v>
      </c>
      <c r="I48" s="19">
        <f t="shared" si="9"/>
        <v>50946.299999999996</v>
      </c>
    </row>
    <row r="49" spans="1:15" x14ac:dyDescent="0.2">
      <c r="A49" s="93" t="s">
        <v>148</v>
      </c>
      <c r="B49" s="96">
        <v>7</v>
      </c>
      <c r="C49" s="19">
        <f t="shared" si="3"/>
        <v>89699.49</v>
      </c>
      <c r="D49" s="19">
        <f t="shared" si="4"/>
        <v>1325.33</v>
      </c>
      <c r="E49" s="19">
        <f t="shared" si="5"/>
        <v>8186.78</v>
      </c>
      <c r="F49" s="19">
        <f t="shared" si="6"/>
        <v>93466.03</v>
      </c>
      <c r="G49" s="19">
        <f t="shared" si="7"/>
        <v>190195.16</v>
      </c>
      <c r="H49" s="19">
        <f t="shared" si="8"/>
        <v>6937.59</v>
      </c>
      <c r="I49" s="19">
        <f t="shared" si="9"/>
        <v>51915.049999999996</v>
      </c>
    </row>
    <row r="50" spans="1:15" x14ac:dyDescent="0.2">
      <c r="A50" s="93" t="s">
        <v>149</v>
      </c>
      <c r="B50" s="96">
        <v>8</v>
      </c>
      <c r="C50" s="19">
        <f t="shared" si="3"/>
        <v>104681.29000000001</v>
      </c>
      <c r="D50" s="19">
        <f t="shared" si="4"/>
        <v>1325.33</v>
      </c>
      <c r="E50" s="19">
        <f t="shared" si="5"/>
        <v>9862.27</v>
      </c>
      <c r="F50" s="19">
        <f t="shared" si="6"/>
        <v>93466.03</v>
      </c>
      <c r="G50" s="19">
        <f t="shared" si="7"/>
        <v>226712.57</v>
      </c>
      <c r="H50" s="19">
        <f t="shared" si="8"/>
        <v>8095.63</v>
      </c>
      <c r="I50" s="19">
        <f t="shared" si="9"/>
        <v>52366.979999999996</v>
      </c>
    </row>
    <row r="51" spans="1:15" x14ac:dyDescent="0.2">
      <c r="A51" s="93" t="s">
        <v>150</v>
      </c>
      <c r="B51" s="96">
        <v>9</v>
      </c>
      <c r="C51" s="19">
        <f t="shared" si="3"/>
        <v>117623.3</v>
      </c>
      <c r="D51" s="19">
        <f t="shared" si="4"/>
        <v>1928.9899999999998</v>
      </c>
      <c r="E51" s="19">
        <f t="shared" si="5"/>
        <v>11371.01</v>
      </c>
      <c r="F51" s="19">
        <f t="shared" si="6"/>
        <v>104802.51</v>
      </c>
      <c r="G51" s="19">
        <f t="shared" si="7"/>
        <v>247396.2</v>
      </c>
      <c r="H51" s="19">
        <f t="shared" si="8"/>
        <v>9167.2900000000009</v>
      </c>
      <c r="I51" s="19">
        <f t="shared" si="9"/>
        <v>52777.35</v>
      </c>
    </row>
    <row r="52" spans="1:15" x14ac:dyDescent="0.2">
      <c r="A52" s="93" t="s">
        <v>151</v>
      </c>
      <c r="B52" s="96">
        <v>10</v>
      </c>
      <c r="C52" s="19">
        <f t="shared" si="3"/>
        <v>131340.68</v>
      </c>
      <c r="D52" s="19">
        <f t="shared" si="4"/>
        <v>2304.0199999999995</v>
      </c>
      <c r="E52" s="19">
        <f t="shared" si="5"/>
        <v>12858.81</v>
      </c>
      <c r="F52" s="19">
        <f t="shared" si="6"/>
        <v>118297.81999999999</v>
      </c>
      <c r="G52" s="19">
        <f t="shared" si="7"/>
        <v>274786.55</v>
      </c>
      <c r="H52" s="19">
        <f t="shared" si="8"/>
        <v>10236.310000000001</v>
      </c>
      <c r="I52" s="19">
        <f t="shared" si="9"/>
        <v>52945.189999999995</v>
      </c>
    </row>
    <row r="53" spans="1:15" x14ac:dyDescent="0.2">
      <c r="A53" s="93" t="s">
        <v>152</v>
      </c>
      <c r="B53" s="96">
        <v>11</v>
      </c>
      <c r="C53" s="19">
        <f t="shared" si="3"/>
        <v>145627.85</v>
      </c>
      <c r="D53" s="19">
        <f t="shared" si="4"/>
        <v>2557.1099999999997</v>
      </c>
      <c r="E53" s="19">
        <f t="shared" si="5"/>
        <v>14123.23</v>
      </c>
      <c r="F53" s="19">
        <f t="shared" si="6"/>
        <v>119319.37</v>
      </c>
      <c r="G53" s="19">
        <f t="shared" si="7"/>
        <v>312544.03999999998</v>
      </c>
      <c r="H53" s="19">
        <f t="shared" si="8"/>
        <v>11349.740000000002</v>
      </c>
      <c r="I53" s="19">
        <f t="shared" si="9"/>
        <v>53068.539999999994</v>
      </c>
    </row>
    <row r="54" spans="1:15" x14ac:dyDescent="0.2">
      <c r="A54" s="93" t="s">
        <v>153</v>
      </c>
      <c r="B54" s="96">
        <v>12</v>
      </c>
      <c r="C54" s="19">
        <f t="shared" si="3"/>
        <v>161881.56</v>
      </c>
      <c r="D54" s="19">
        <f t="shared" si="4"/>
        <v>3860</v>
      </c>
      <c r="E54" s="19">
        <f t="shared" si="5"/>
        <v>15252.599999999999</v>
      </c>
      <c r="F54" s="19">
        <f t="shared" si="6"/>
        <v>140061.94</v>
      </c>
      <c r="G54" s="19">
        <f t="shared" si="7"/>
        <v>344627.79</v>
      </c>
      <c r="H54" s="19">
        <f t="shared" si="8"/>
        <v>12616.430000000002</v>
      </c>
      <c r="I54" s="19">
        <f t="shared" si="9"/>
        <v>72092.81</v>
      </c>
    </row>
    <row r="55" spans="1:15" x14ac:dyDescent="0.2">
      <c r="B55" s="96"/>
      <c r="C55" s="183"/>
      <c r="D55" s="183"/>
      <c r="E55" s="183"/>
      <c r="F55" s="183"/>
      <c r="G55" s="183"/>
      <c r="H55" s="183"/>
      <c r="I55" s="183"/>
    </row>
    <row r="56" spans="1:15" x14ac:dyDescent="0.2">
      <c r="A56" s="93"/>
    </row>
    <row r="57" spans="1:15" x14ac:dyDescent="0.2">
      <c r="C57" s="9" t="s">
        <v>19</v>
      </c>
      <c r="D57" s="10" t="s">
        <v>20</v>
      </c>
      <c r="E57" s="11" t="s">
        <v>21</v>
      </c>
      <c r="F57" s="11" t="s">
        <v>22</v>
      </c>
      <c r="G57" s="11" t="s">
        <v>23</v>
      </c>
      <c r="H57" s="9" t="s">
        <v>19</v>
      </c>
      <c r="I57" s="11" t="s">
        <v>24</v>
      </c>
    </row>
    <row r="58" spans="1:15" ht="13.5" thickBot="1" x14ac:dyDescent="0.25">
      <c r="C58" s="12" t="s">
        <v>26</v>
      </c>
      <c r="D58" s="12" t="s">
        <v>27</v>
      </c>
      <c r="E58" s="13" t="s">
        <v>28</v>
      </c>
      <c r="F58" s="12" t="s">
        <v>29</v>
      </c>
      <c r="G58" s="12" t="s">
        <v>30</v>
      </c>
      <c r="H58" s="12" t="s">
        <v>31</v>
      </c>
      <c r="I58" s="13" t="s">
        <v>32</v>
      </c>
      <c r="O58"/>
    </row>
    <row r="59" spans="1:15" ht="26.25" thickBot="1" x14ac:dyDescent="0.25">
      <c r="A59" s="154" t="s">
        <v>154</v>
      </c>
      <c r="C59" s="14" t="s">
        <v>35</v>
      </c>
      <c r="D59" s="15" t="s">
        <v>36</v>
      </c>
      <c r="E59" s="16" t="s">
        <v>38</v>
      </c>
      <c r="F59" s="15" t="s">
        <v>39</v>
      </c>
      <c r="G59" s="15" t="s">
        <v>6</v>
      </c>
      <c r="H59" s="16" t="s">
        <v>40</v>
      </c>
      <c r="I59" s="17" t="s">
        <v>41</v>
      </c>
      <c r="J59" s="13" t="s">
        <v>33</v>
      </c>
    </row>
    <row r="60" spans="1:15" ht="13.5" thickBot="1" x14ac:dyDescent="0.25">
      <c r="B60" s="95"/>
      <c r="O60"/>
    </row>
    <row r="61" spans="1:15" x14ac:dyDescent="0.2">
      <c r="A61" s="91" t="s">
        <v>7</v>
      </c>
      <c r="B61" s="96">
        <v>1</v>
      </c>
      <c r="C61" s="99">
        <v>13953.01</v>
      </c>
      <c r="D61" s="100">
        <v>337.98</v>
      </c>
      <c r="E61" s="100">
        <v>955.83</v>
      </c>
      <c r="F61" s="100">
        <v>3852.46</v>
      </c>
      <c r="G61" s="100">
        <v>27336.63</v>
      </c>
      <c r="H61" s="100">
        <v>1082.6400000000001</v>
      </c>
      <c r="I61" s="101">
        <v>3611.61</v>
      </c>
    </row>
    <row r="62" spans="1:15" x14ac:dyDescent="0.2">
      <c r="A62" s="93" t="s">
        <v>142</v>
      </c>
      <c r="B62" s="96">
        <v>2</v>
      </c>
      <c r="C62" s="19">
        <v>13764.01</v>
      </c>
      <c r="D62" s="20">
        <v>174.5</v>
      </c>
      <c r="E62" s="20">
        <v>1421.82</v>
      </c>
      <c r="F62" s="20">
        <v>783.15</v>
      </c>
      <c r="G62" s="20">
        <v>38526.61</v>
      </c>
      <c r="H62" s="20">
        <v>1063.9100000000001</v>
      </c>
      <c r="I62" s="21">
        <v>189.07</v>
      </c>
    </row>
    <row r="63" spans="1:15" x14ac:dyDescent="0.2">
      <c r="A63" s="93" t="s">
        <v>143</v>
      </c>
      <c r="B63" s="96">
        <v>3</v>
      </c>
      <c r="C63" s="19">
        <v>11388.8</v>
      </c>
      <c r="D63" s="20">
        <v>502.85</v>
      </c>
      <c r="E63" s="20">
        <v>796.25</v>
      </c>
      <c r="F63" s="20">
        <v>25664.54</v>
      </c>
      <c r="G63" s="20">
        <v>18085.490000000002</v>
      </c>
      <c r="H63" s="20">
        <v>880.32</v>
      </c>
      <c r="I63" s="21">
        <v>346.05</v>
      </c>
    </row>
    <row r="64" spans="1:15" x14ac:dyDescent="0.2">
      <c r="A64" s="93" t="s">
        <v>144</v>
      </c>
      <c r="B64" s="96">
        <v>4</v>
      </c>
      <c r="C64" s="19">
        <v>9600.83</v>
      </c>
      <c r="D64" s="20">
        <v>0</v>
      </c>
      <c r="E64" s="20">
        <v>948.3</v>
      </c>
      <c r="F64" s="20">
        <v>8339.7800000000007</v>
      </c>
      <c r="G64" s="20">
        <v>20530.39</v>
      </c>
      <c r="H64" s="20">
        <v>742.11</v>
      </c>
      <c r="I64" s="21">
        <v>264.2</v>
      </c>
    </row>
    <row r="65" spans="1:10" x14ac:dyDescent="0.2">
      <c r="A65" s="93" t="s">
        <v>145</v>
      </c>
      <c r="B65" s="96">
        <v>5</v>
      </c>
      <c r="C65" s="19">
        <v>12706.98</v>
      </c>
      <c r="D65" s="20">
        <v>0</v>
      </c>
      <c r="E65" s="20">
        <v>1123.18</v>
      </c>
      <c r="F65" s="20">
        <v>68.010000000000005</v>
      </c>
      <c r="G65" s="20">
        <v>33241.9</v>
      </c>
      <c r="H65" s="20">
        <v>982.21</v>
      </c>
      <c r="I65" s="21">
        <v>96.42</v>
      </c>
    </row>
    <row r="66" spans="1:10" x14ac:dyDescent="0.2">
      <c r="A66" s="93" t="s">
        <v>146</v>
      </c>
      <c r="B66" s="96">
        <v>6</v>
      </c>
      <c r="C66" s="19">
        <v>14676.99</v>
      </c>
      <c r="D66" s="20">
        <v>0</v>
      </c>
      <c r="E66" s="20">
        <v>1314.91</v>
      </c>
      <c r="F66" s="20">
        <v>27501.83</v>
      </c>
      <c r="G66" s="20">
        <v>24318.86</v>
      </c>
      <c r="H66" s="20">
        <v>1134.48</v>
      </c>
      <c r="I66" s="21">
        <v>46438.95</v>
      </c>
    </row>
    <row r="67" spans="1:10" x14ac:dyDescent="0.2">
      <c r="A67" s="93" t="s">
        <v>147</v>
      </c>
      <c r="B67" s="96">
        <v>7</v>
      </c>
      <c r="C67" s="19">
        <v>13608.87</v>
      </c>
      <c r="D67" s="20">
        <v>310</v>
      </c>
      <c r="E67" s="20">
        <v>1626.49</v>
      </c>
      <c r="F67" s="20">
        <v>27256.26</v>
      </c>
      <c r="G67" s="20">
        <v>28155.279999999999</v>
      </c>
      <c r="H67" s="20">
        <v>1051.92</v>
      </c>
      <c r="I67" s="21">
        <v>968.75</v>
      </c>
    </row>
    <row r="68" spans="1:10" x14ac:dyDescent="0.2">
      <c r="A68" s="93" t="s">
        <v>148</v>
      </c>
      <c r="B68" s="96">
        <v>8</v>
      </c>
      <c r="C68" s="19">
        <v>14981.8</v>
      </c>
      <c r="D68" s="20">
        <v>0</v>
      </c>
      <c r="E68" s="20">
        <v>1675.49</v>
      </c>
      <c r="F68" s="20">
        <v>0</v>
      </c>
      <c r="G68" s="20">
        <v>36517.410000000003</v>
      </c>
      <c r="H68" s="20">
        <v>1158.04</v>
      </c>
      <c r="I68" s="21">
        <v>451.93</v>
      </c>
    </row>
    <row r="69" spans="1:10" x14ac:dyDescent="0.2">
      <c r="A69" s="93" t="s">
        <v>149</v>
      </c>
      <c r="B69" s="96">
        <v>9</v>
      </c>
      <c r="C69" s="19">
        <v>12942.01</v>
      </c>
      <c r="D69" s="20">
        <v>603.66</v>
      </c>
      <c r="E69" s="20">
        <v>1508.74</v>
      </c>
      <c r="F69" s="20">
        <v>11336.48</v>
      </c>
      <c r="G69" s="20">
        <v>20683.63</v>
      </c>
      <c r="H69" s="20">
        <v>1071.6600000000001</v>
      </c>
      <c r="I69" s="21">
        <v>410.37</v>
      </c>
    </row>
    <row r="70" spans="1:10" x14ac:dyDescent="0.2">
      <c r="A70" s="93" t="s">
        <v>150</v>
      </c>
      <c r="B70" s="96">
        <v>10</v>
      </c>
      <c r="C70" s="19">
        <v>13717.38</v>
      </c>
      <c r="D70" s="20">
        <v>375.03</v>
      </c>
      <c r="E70" s="20">
        <v>1487.8</v>
      </c>
      <c r="F70" s="20">
        <v>13495.31</v>
      </c>
      <c r="G70" s="20">
        <v>27390.35</v>
      </c>
      <c r="H70" s="20">
        <v>1069.02</v>
      </c>
      <c r="I70" s="21">
        <v>167.84</v>
      </c>
    </row>
    <row r="71" spans="1:10" x14ac:dyDescent="0.2">
      <c r="A71" s="93" t="s">
        <v>151</v>
      </c>
      <c r="B71" s="96">
        <v>11</v>
      </c>
      <c r="C71" s="19">
        <v>14287.17</v>
      </c>
      <c r="D71" s="20">
        <v>253.09</v>
      </c>
      <c r="E71" s="20">
        <v>1264.42</v>
      </c>
      <c r="F71" s="20">
        <v>1021.55</v>
      </c>
      <c r="G71" s="20">
        <v>37757.49</v>
      </c>
      <c r="H71" s="20">
        <v>1113.43</v>
      </c>
      <c r="I71" s="21">
        <v>123.35</v>
      </c>
    </row>
    <row r="72" spans="1:10" x14ac:dyDescent="0.2">
      <c r="A72" s="93" t="s">
        <v>152</v>
      </c>
      <c r="B72" s="96">
        <v>12</v>
      </c>
      <c r="C72" s="180">
        <v>16253.71</v>
      </c>
      <c r="D72" s="181">
        <v>1302.8900000000001</v>
      </c>
      <c r="E72" s="181">
        <v>1129.3699999999999</v>
      </c>
      <c r="F72" s="181">
        <v>20742.57</v>
      </c>
      <c r="G72" s="181">
        <v>32083.75</v>
      </c>
      <c r="H72" s="181">
        <v>1266.69</v>
      </c>
      <c r="I72" s="182">
        <v>19024.27</v>
      </c>
    </row>
    <row r="73" spans="1:10" x14ac:dyDescent="0.2">
      <c r="A73" s="93" t="s">
        <v>153</v>
      </c>
    </row>
    <row r="76" spans="1:10" x14ac:dyDescent="0.2">
      <c r="C76" s="9" t="s">
        <v>19</v>
      </c>
      <c r="D76" s="10" t="s">
        <v>20</v>
      </c>
      <c r="E76" s="10" t="s">
        <v>20</v>
      </c>
      <c r="F76" s="11" t="s">
        <v>21</v>
      </c>
      <c r="G76" s="11" t="s">
        <v>22</v>
      </c>
      <c r="H76" s="11" t="s">
        <v>23</v>
      </c>
      <c r="I76" s="9" t="s">
        <v>19</v>
      </c>
    </row>
    <row r="77" spans="1:10" ht="13.5" thickBot="1" x14ac:dyDescent="0.25">
      <c r="C77" s="12" t="s">
        <v>26</v>
      </c>
      <c r="D77" s="12" t="s">
        <v>27</v>
      </c>
      <c r="E77" s="13" t="s">
        <v>28</v>
      </c>
      <c r="F77" s="12" t="s">
        <v>29</v>
      </c>
      <c r="G77" s="12" t="s">
        <v>30</v>
      </c>
      <c r="H77" s="12" t="s">
        <v>31</v>
      </c>
      <c r="I77" s="13" t="s">
        <v>32</v>
      </c>
      <c r="J77" s="11" t="s">
        <v>24</v>
      </c>
    </row>
    <row r="78" spans="1:10" ht="13.5" thickBot="1" x14ac:dyDescent="0.25">
      <c r="A78" s="154" t="s">
        <v>134</v>
      </c>
      <c r="C78" s="14" t="s">
        <v>35</v>
      </c>
      <c r="D78" s="15" t="s">
        <v>36</v>
      </c>
      <c r="E78" s="123" t="s">
        <v>37</v>
      </c>
      <c r="F78" s="16" t="s">
        <v>38</v>
      </c>
      <c r="G78" s="15" t="s">
        <v>39</v>
      </c>
      <c r="H78" s="15" t="s">
        <v>6</v>
      </c>
      <c r="I78" s="16" t="s">
        <v>40</v>
      </c>
      <c r="J78" s="13" t="s">
        <v>33</v>
      </c>
    </row>
    <row r="79" spans="1:10" ht="26.25" thickBot="1" x14ac:dyDescent="0.25">
      <c r="B79" s="95"/>
      <c r="J79" s="17" t="s">
        <v>41</v>
      </c>
    </row>
    <row r="80" spans="1:10" x14ac:dyDescent="0.2">
      <c r="A80" s="91" t="s">
        <v>7</v>
      </c>
      <c r="B80" s="96">
        <v>1</v>
      </c>
      <c r="C80" s="2">
        <f>C97</f>
        <v>11954.19</v>
      </c>
      <c r="D80" s="2">
        <f t="shared" ref="D80:J81" si="10">D97</f>
        <v>349.76</v>
      </c>
      <c r="E80" s="2">
        <f t="shared" si="10"/>
        <v>201.22</v>
      </c>
      <c r="F80" s="2">
        <f t="shared" si="10"/>
        <v>1027.98</v>
      </c>
      <c r="G80" s="2">
        <f t="shared" si="10"/>
        <v>3503.19</v>
      </c>
      <c r="H80" s="2">
        <f t="shared" si="10"/>
        <v>25052.82</v>
      </c>
      <c r="I80" s="2">
        <f t="shared" si="10"/>
        <v>1003.11</v>
      </c>
    </row>
    <row r="81" spans="1:13" x14ac:dyDescent="0.2">
      <c r="A81" s="93" t="s">
        <v>120</v>
      </c>
      <c r="B81" s="96">
        <v>2</v>
      </c>
      <c r="C81" s="2">
        <f t="shared" ref="C81:C91" si="11">C98+C80</f>
        <v>24079.39</v>
      </c>
      <c r="D81" s="2">
        <f t="shared" ref="D81:D91" si="12">D98+D80</f>
        <v>506.33</v>
      </c>
      <c r="E81" s="2">
        <f t="shared" ref="E81:E91" si="13">E98+E80</f>
        <v>201.22</v>
      </c>
      <c r="F81" s="2">
        <f t="shared" ref="F81:F91" si="14">F98+F80</f>
        <v>2348.48</v>
      </c>
      <c r="G81" s="2">
        <f t="shared" ref="G81:G91" si="15">G98+G80</f>
        <v>4755.96</v>
      </c>
      <c r="H81" s="2">
        <f t="shared" ref="H81:H91" si="16">H98+H80</f>
        <v>56681.29</v>
      </c>
      <c r="I81" s="2">
        <f t="shared" ref="I81:I91" si="17">I98+I80</f>
        <v>2020.5700000000002</v>
      </c>
      <c r="J81" s="2">
        <f t="shared" si="10"/>
        <v>3376.7</v>
      </c>
    </row>
    <row r="82" spans="1:13" x14ac:dyDescent="0.2">
      <c r="A82" s="93" t="s">
        <v>121</v>
      </c>
      <c r="B82" s="96">
        <v>3</v>
      </c>
      <c r="C82" s="2">
        <f t="shared" si="11"/>
        <v>33883.300000000003</v>
      </c>
      <c r="D82" s="2">
        <f t="shared" si="12"/>
        <v>894.74</v>
      </c>
      <c r="E82" s="2">
        <f t="shared" si="13"/>
        <v>201.22</v>
      </c>
      <c r="F82" s="2">
        <f t="shared" si="14"/>
        <v>3054.55</v>
      </c>
      <c r="G82" s="2">
        <f t="shared" si="15"/>
        <v>29598.399999999998</v>
      </c>
      <c r="H82" s="2">
        <f t="shared" si="16"/>
        <v>70500.42</v>
      </c>
      <c r="I82" s="2">
        <f t="shared" si="17"/>
        <v>2843.25</v>
      </c>
      <c r="J82" s="2">
        <f t="shared" ref="J82:J92" si="18">J99+J81</f>
        <v>3810.18</v>
      </c>
    </row>
    <row r="83" spans="1:13" x14ac:dyDescent="0.2">
      <c r="A83" s="93" t="s">
        <v>122</v>
      </c>
      <c r="B83" s="96">
        <v>4</v>
      </c>
      <c r="C83" s="2">
        <f t="shared" si="11"/>
        <v>42523.310000000005</v>
      </c>
      <c r="D83" s="2">
        <f t="shared" si="12"/>
        <v>894.74</v>
      </c>
      <c r="E83" s="2">
        <f t="shared" si="13"/>
        <v>201.22</v>
      </c>
      <c r="F83" s="2">
        <f t="shared" si="14"/>
        <v>3871.8100000000004</v>
      </c>
      <c r="G83" s="2">
        <f t="shared" si="15"/>
        <v>37459.17</v>
      </c>
      <c r="H83" s="2">
        <f t="shared" si="16"/>
        <v>87426.35</v>
      </c>
      <c r="I83" s="2">
        <f t="shared" si="17"/>
        <v>3568.26</v>
      </c>
      <c r="J83" s="2">
        <f t="shared" si="18"/>
        <v>4035.1499999999996</v>
      </c>
    </row>
    <row r="84" spans="1:13" x14ac:dyDescent="0.2">
      <c r="A84" s="93" t="s">
        <v>123</v>
      </c>
      <c r="B84" s="96">
        <v>5</v>
      </c>
      <c r="C84" s="2">
        <f t="shared" si="11"/>
        <v>53200.590000000004</v>
      </c>
      <c r="D84" s="2">
        <f t="shared" si="12"/>
        <v>894.74</v>
      </c>
      <c r="E84" s="2">
        <f t="shared" si="13"/>
        <v>201.22</v>
      </c>
      <c r="F84" s="2">
        <f t="shared" si="14"/>
        <v>4814.7000000000007</v>
      </c>
      <c r="G84" s="2">
        <f t="shared" si="15"/>
        <v>37544.409999999996</v>
      </c>
      <c r="H84" s="2">
        <f t="shared" si="16"/>
        <v>119365.44</v>
      </c>
      <c r="I84" s="2">
        <f t="shared" si="17"/>
        <v>4464.22</v>
      </c>
      <c r="J84" s="2">
        <f t="shared" si="18"/>
        <v>4035.1499999999996</v>
      </c>
    </row>
    <row r="85" spans="1:13" x14ac:dyDescent="0.2">
      <c r="A85" s="93" t="s">
        <v>124</v>
      </c>
      <c r="B85" s="96">
        <v>6</v>
      </c>
      <c r="C85" s="2">
        <f t="shared" si="11"/>
        <v>65869.59</v>
      </c>
      <c r="D85" s="2">
        <f t="shared" si="12"/>
        <v>894.74</v>
      </c>
      <c r="E85" s="2">
        <f t="shared" si="13"/>
        <v>201.22</v>
      </c>
      <c r="F85" s="2">
        <f t="shared" si="14"/>
        <v>5986.6900000000005</v>
      </c>
      <c r="G85" s="2">
        <f t="shared" si="15"/>
        <v>63574.409999999996</v>
      </c>
      <c r="H85" s="2">
        <f t="shared" si="16"/>
        <v>138062.35</v>
      </c>
      <c r="I85" s="2">
        <f t="shared" si="17"/>
        <v>5527.2300000000005</v>
      </c>
      <c r="J85" s="2">
        <f t="shared" si="18"/>
        <v>4035.1499999999996</v>
      </c>
    </row>
    <row r="86" spans="1:13" x14ac:dyDescent="0.2">
      <c r="A86" s="93" t="s">
        <v>125</v>
      </c>
      <c r="B86" s="96">
        <v>7</v>
      </c>
      <c r="C86" s="2">
        <f t="shared" si="11"/>
        <v>78179.44</v>
      </c>
      <c r="D86" s="2">
        <f t="shared" si="12"/>
        <v>1553.67</v>
      </c>
      <c r="E86" s="2">
        <f t="shared" si="13"/>
        <v>201.22</v>
      </c>
      <c r="F86" s="2">
        <f t="shared" si="14"/>
        <v>7306.39</v>
      </c>
      <c r="G86" s="2">
        <f t="shared" si="15"/>
        <v>89952.01999999999</v>
      </c>
      <c r="H86" s="2">
        <f t="shared" si="16"/>
        <v>162749.26</v>
      </c>
      <c r="I86" s="2">
        <f t="shared" si="17"/>
        <v>6560.1900000000005</v>
      </c>
      <c r="J86" s="2">
        <f t="shared" si="18"/>
        <v>49208.520000000004</v>
      </c>
    </row>
    <row r="87" spans="1:13" x14ac:dyDescent="0.2">
      <c r="A87" s="93" t="s">
        <v>126</v>
      </c>
      <c r="B87" s="96">
        <v>8</v>
      </c>
      <c r="C87" s="2">
        <f t="shared" si="11"/>
        <v>90719.82</v>
      </c>
      <c r="D87" s="2">
        <f t="shared" si="12"/>
        <v>1553.67</v>
      </c>
      <c r="E87" s="2">
        <f t="shared" si="13"/>
        <v>201.22</v>
      </c>
      <c r="F87" s="2">
        <f t="shared" si="14"/>
        <v>8661.27</v>
      </c>
      <c r="G87" s="2">
        <f t="shared" si="15"/>
        <v>89952.01999999999</v>
      </c>
      <c r="H87" s="2">
        <f t="shared" si="16"/>
        <v>193770.1</v>
      </c>
      <c r="I87" s="2">
        <f t="shared" si="17"/>
        <v>7612.4900000000007</v>
      </c>
      <c r="J87" s="2">
        <f t="shared" si="18"/>
        <v>50556.01</v>
      </c>
    </row>
    <row r="88" spans="1:13" x14ac:dyDescent="0.2">
      <c r="A88" s="93" t="s">
        <v>127</v>
      </c>
      <c r="B88" s="96">
        <v>9</v>
      </c>
      <c r="C88" s="2">
        <f t="shared" si="11"/>
        <v>102499.69</v>
      </c>
      <c r="D88" s="2">
        <f t="shared" si="12"/>
        <v>2114.9499999999998</v>
      </c>
      <c r="E88" s="2">
        <f t="shared" si="13"/>
        <v>201.22</v>
      </c>
      <c r="F88" s="2">
        <f t="shared" si="14"/>
        <v>10128.550000000001</v>
      </c>
      <c r="G88" s="2">
        <f t="shared" si="15"/>
        <v>108860.51</v>
      </c>
      <c r="H88" s="2">
        <f t="shared" si="16"/>
        <v>208948.75</v>
      </c>
      <c r="I88" s="2">
        <f t="shared" si="17"/>
        <v>8029.3300000000008</v>
      </c>
      <c r="J88" s="2">
        <f t="shared" si="18"/>
        <v>51084.630000000005</v>
      </c>
    </row>
    <row r="89" spans="1:13" x14ac:dyDescent="0.2">
      <c r="A89" s="93" t="s">
        <v>128</v>
      </c>
      <c r="B89" s="96">
        <v>10</v>
      </c>
      <c r="C89" s="2">
        <f t="shared" si="11"/>
        <v>113659.18000000001</v>
      </c>
      <c r="D89" s="2">
        <f t="shared" si="12"/>
        <v>2375.56</v>
      </c>
      <c r="E89" s="2">
        <f t="shared" si="13"/>
        <v>201.22</v>
      </c>
      <c r="F89" s="2">
        <f t="shared" si="14"/>
        <v>11329.94</v>
      </c>
      <c r="G89" s="2">
        <f t="shared" si="15"/>
        <v>116040.78</v>
      </c>
      <c r="H89" s="2">
        <f t="shared" si="16"/>
        <v>233296.26</v>
      </c>
      <c r="I89" s="2">
        <f t="shared" si="17"/>
        <v>8900.3100000000013</v>
      </c>
      <c r="J89" s="2">
        <f t="shared" si="18"/>
        <v>51626.770000000004</v>
      </c>
    </row>
    <row r="90" spans="1:13" x14ac:dyDescent="0.2">
      <c r="A90" s="93" t="s">
        <v>129</v>
      </c>
      <c r="B90" s="96">
        <v>11</v>
      </c>
      <c r="C90" s="2">
        <f t="shared" si="11"/>
        <v>126912.20000000001</v>
      </c>
      <c r="D90" s="2">
        <f t="shared" si="12"/>
        <v>2560.69</v>
      </c>
      <c r="E90" s="2">
        <f t="shared" si="13"/>
        <v>201.22</v>
      </c>
      <c r="F90" s="2">
        <f t="shared" si="14"/>
        <v>12444.050000000001</v>
      </c>
      <c r="G90" s="2">
        <f t="shared" si="15"/>
        <v>117522.2</v>
      </c>
      <c r="H90" s="2">
        <f t="shared" si="16"/>
        <v>264608.48</v>
      </c>
      <c r="I90" s="2">
        <f t="shared" si="17"/>
        <v>9934.6900000000023</v>
      </c>
      <c r="J90" s="2">
        <f t="shared" si="18"/>
        <v>52050.65</v>
      </c>
    </row>
    <row r="91" spans="1:13" x14ac:dyDescent="0.2">
      <c r="A91" s="93" t="s">
        <v>130</v>
      </c>
      <c r="B91" s="96">
        <v>12</v>
      </c>
      <c r="C91" s="2">
        <f t="shared" si="11"/>
        <v>141535.98000000001</v>
      </c>
      <c r="D91" s="2">
        <f t="shared" si="12"/>
        <v>3853.45</v>
      </c>
      <c r="E91" s="2">
        <f t="shared" si="13"/>
        <v>201.22</v>
      </c>
      <c r="F91" s="2">
        <f t="shared" si="14"/>
        <v>13434.44</v>
      </c>
      <c r="G91" s="2">
        <f t="shared" si="15"/>
        <v>143048.06</v>
      </c>
      <c r="H91" s="2">
        <f t="shared" si="16"/>
        <v>290065.01999999996</v>
      </c>
      <c r="I91" s="2">
        <f t="shared" si="17"/>
        <v>11076.060000000001</v>
      </c>
      <c r="J91" s="2">
        <f t="shared" si="18"/>
        <v>52050.65</v>
      </c>
    </row>
    <row r="92" spans="1:13" x14ac:dyDescent="0.2">
      <c r="A92" s="93" t="s">
        <v>131</v>
      </c>
      <c r="B92" s="96"/>
      <c r="J92" s="2">
        <f t="shared" si="18"/>
        <v>69061.25</v>
      </c>
    </row>
    <row r="93" spans="1:13" x14ac:dyDescent="0.2">
      <c r="A93" s="93"/>
      <c r="B93" s="94"/>
      <c r="C93" s="9" t="s">
        <v>19</v>
      </c>
      <c r="D93" s="10" t="s">
        <v>20</v>
      </c>
      <c r="E93" s="10" t="s">
        <v>20</v>
      </c>
      <c r="F93" s="11" t="s">
        <v>21</v>
      </c>
      <c r="G93" s="11" t="s">
        <v>22</v>
      </c>
      <c r="H93" s="11" t="s">
        <v>23</v>
      </c>
      <c r="I93" s="9" t="s">
        <v>19</v>
      </c>
    </row>
    <row r="94" spans="1:13" ht="13.5" thickBot="1" x14ac:dyDescent="0.25">
      <c r="A94" s="89"/>
      <c r="B94" s="95"/>
      <c r="C94" s="12" t="s">
        <v>26</v>
      </c>
      <c r="D94" s="12" t="s">
        <v>27</v>
      </c>
      <c r="E94" s="13" t="s">
        <v>28</v>
      </c>
      <c r="F94" s="12" t="s">
        <v>29</v>
      </c>
      <c r="G94" s="12" t="s">
        <v>30</v>
      </c>
      <c r="H94" s="12" t="s">
        <v>31</v>
      </c>
      <c r="I94" s="13" t="s">
        <v>32</v>
      </c>
      <c r="J94" s="11" t="s">
        <v>24</v>
      </c>
    </row>
    <row r="95" spans="1:13" ht="13.5" thickBot="1" x14ac:dyDescent="0.25">
      <c r="A95" s="90" t="s">
        <v>0</v>
      </c>
      <c r="B95" s="95"/>
      <c r="C95" s="14" t="s">
        <v>35</v>
      </c>
      <c r="D95" s="15" t="s">
        <v>36</v>
      </c>
      <c r="E95" s="123" t="s">
        <v>37</v>
      </c>
      <c r="F95" s="16" t="s">
        <v>38</v>
      </c>
      <c r="G95" s="15" t="s">
        <v>39</v>
      </c>
      <c r="H95" s="15" t="s">
        <v>6</v>
      </c>
      <c r="I95" s="16" t="s">
        <v>40</v>
      </c>
      <c r="J95" s="13" t="s">
        <v>33</v>
      </c>
      <c r="K95" s="1"/>
      <c r="L95" s="1" t="s">
        <v>2</v>
      </c>
      <c r="M95" s="1" t="s">
        <v>4</v>
      </c>
    </row>
    <row r="96" spans="1:13" ht="26.25" thickBot="1" x14ac:dyDescent="0.25">
      <c r="A96" s="90" t="s">
        <v>1</v>
      </c>
      <c r="B96" s="95"/>
      <c r="C96" s="116">
        <f>SUM(C97:C108)</f>
        <v>141535.98000000001</v>
      </c>
      <c r="D96" s="116">
        <f t="shared" ref="D96:J97" si="19">SUM(D97:D108)</f>
        <v>3853.45</v>
      </c>
      <c r="E96" s="116">
        <f t="shared" si="19"/>
        <v>201.22</v>
      </c>
      <c r="F96" s="116">
        <f t="shared" si="19"/>
        <v>13434.44</v>
      </c>
      <c r="G96" s="116">
        <f t="shared" si="19"/>
        <v>143048.06</v>
      </c>
      <c r="H96" s="116">
        <f t="shared" si="19"/>
        <v>290065.01999999996</v>
      </c>
      <c r="I96" s="116">
        <f t="shared" si="19"/>
        <v>11076.060000000001</v>
      </c>
      <c r="J96" s="17" t="s">
        <v>41</v>
      </c>
      <c r="K96" s="1"/>
      <c r="L96" s="1" t="s">
        <v>3</v>
      </c>
      <c r="M96" s="1" t="s">
        <v>5</v>
      </c>
    </row>
    <row r="97" spans="1:17" ht="13.5" thickBot="1" x14ac:dyDescent="0.25">
      <c r="A97" s="91" t="s">
        <v>7</v>
      </c>
      <c r="B97" s="96">
        <v>1</v>
      </c>
      <c r="C97" s="99">
        <v>11954.19</v>
      </c>
      <c r="D97" s="100">
        <v>349.76</v>
      </c>
      <c r="E97" s="100">
        <v>201.22</v>
      </c>
      <c r="F97" s="100">
        <v>1027.98</v>
      </c>
      <c r="G97" s="100">
        <v>3503.19</v>
      </c>
      <c r="H97" s="100">
        <v>25052.82</v>
      </c>
      <c r="I97" s="100">
        <v>1003.11</v>
      </c>
      <c r="J97" s="116">
        <f t="shared" si="19"/>
        <v>69061.25</v>
      </c>
      <c r="K97" s="2">
        <f t="shared" ref="K97:K109" si="20">SUM(C97:J97)</f>
        <v>112153.52</v>
      </c>
      <c r="L97" s="117">
        <v>125000</v>
      </c>
      <c r="M97" s="117">
        <v>5500</v>
      </c>
    </row>
    <row r="98" spans="1:17" x14ac:dyDescent="0.2">
      <c r="A98" s="93" t="s">
        <v>120</v>
      </c>
      <c r="B98" s="96">
        <v>2</v>
      </c>
      <c r="C98" s="19">
        <v>12125.2</v>
      </c>
      <c r="D98" s="20">
        <v>156.57</v>
      </c>
      <c r="E98" s="20">
        <v>0</v>
      </c>
      <c r="F98" s="20">
        <v>1320.5</v>
      </c>
      <c r="G98" s="20">
        <v>1252.77</v>
      </c>
      <c r="H98" s="20">
        <v>31628.47</v>
      </c>
      <c r="I98" s="20">
        <v>1017.46</v>
      </c>
      <c r="J98" s="101">
        <v>3376.7</v>
      </c>
      <c r="K98" s="2">
        <f t="shared" si="20"/>
        <v>50877.67</v>
      </c>
      <c r="L98" s="92">
        <f t="shared" ref="L98:M109" si="21">L116/1000</f>
        <v>12818.64402</v>
      </c>
      <c r="M98" s="92">
        <f t="shared" si="21"/>
        <v>641.14892000000009</v>
      </c>
    </row>
    <row r="99" spans="1:17" x14ac:dyDescent="0.2">
      <c r="A99" s="93" t="s">
        <v>121</v>
      </c>
      <c r="B99" s="96">
        <v>3</v>
      </c>
      <c r="C99" s="19">
        <v>9803.91</v>
      </c>
      <c r="D99" s="20">
        <v>388.41</v>
      </c>
      <c r="E99" s="20">
        <v>0</v>
      </c>
      <c r="F99" s="20">
        <v>706.07</v>
      </c>
      <c r="G99" s="20">
        <v>24842.44</v>
      </c>
      <c r="H99" s="20">
        <v>13819.13</v>
      </c>
      <c r="I99" s="20">
        <v>822.68</v>
      </c>
      <c r="J99" s="21">
        <v>433.48</v>
      </c>
      <c r="K99" s="2">
        <f t="shared" si="20"/>
        <v>50816.12</v>
      </c>
      <c r="L99" s="92">
        <f t="shared" si="21"/>
        <v>23989.270989999997</v>
      </c>
      <c r="M99" s="92">
        <f t="shared" si="21"/>
        <v>842.29815000000008</v>
      </c>
      <c r="P99" s="2"/>
      <c r="Q99" s="2"/>
    </row>
    <row r="100" spans="1:17" x14ac:dyDescent="0.2">
      <c r="A100" s="93" t="s">
        <v>122</v>
      </c>
      <c r="B100" s="96">
        <v>4</v>
      </c>
      <c r="C100" s="119">
        <v>8640.01</v>
      </c>
      <c r="D100" s="120">
        <v>0</v>
      </c>
      <c r="E100" s="120">
        <v>0</v>
      </c>
      <c r="F100" s="120">
        <v>817.26</v>
      </c>
      <c r="G100" s="120">
        <v>7860.77</v>
      </c>
      <c r="H100" s="120">
        <v>16925.93</v>
      </c>
      <c r="I100" s="120">
        <v>725.01</v>
      </c>
      <c r="J100" s="21">
        <v>224.97</v>
      </c>
      <c r="K100" s="2">
        <f t="shared" si="20"/>
        <v>35193.950000000004</v>
      </c>
      <c r="L100" s="92">
        <f t="shared" si="21"/>
        <v>33660.15814</v>
      </c>
      <c r="M100" s="92">
        <f t="shared" si="21"/>
        <v>1113.0471499999999</v>
      </c>
      <c r="P100" s="2"/>
      <c r="Q100" s="2"/>
    </row>
    <row r="101" spans="1:17" x14ac:dyDescent="0.2">
      <c r="A101" s="93" t="s">
        <v>123</v>
      </c>
      <c r="B101" s="96">
        <v>5</v>
      </c>
      <c r="C101" s="19">
        <v>10677.28</v>
      </c>
      <c r="D101" s="20">
        <v>0</v>
      </c>
      <c r="E101" s="20">
        <v>0</v>
      </c>
      <c r="F101" s="20">
        <v>942.89</v>
      </c>
      <c r="G101" s="20">
        <v>85.24</v>
      </c>
      <c r="H101" s="20">
        <v>31939.09</v>
      </c>
      <c r="I101" s="20">
        <v>895.96</v>
      </c>
      <c r="J101" s="121">
        <v>0</v>
      </c>
      <c r="K101" s="2">
        <f t="shared" si="20"/>
        <v>44540.46</v>
      </c>
      <c r="L101" s="92">
        <f t="shared" si="21"/>
        <v>42263.966670000002</v>
      </c>
      <c r="M101" s="92">
        <f t="shared" si="21"/>
        <v>1113.5828999999999</v>
      </c>
      <c r="P101" s="2"/>
    </row>
    <row r="102" spans="1:17" x14ac:dyDescent="0.2">
      <c r="A102" s="93" t="s">
        <v>124</v>
      </c>
      <c r="B102" s="96">
        <v>6</v>
      </c>
      <c r="C102" s="19">
        <v>12669</v>
      </c>
      <c r="D102" s="20">
        <v>0</v>
      </c>
      <c r="E102" s="20">
        <v>0</v>
      </c>
      <c r="F102" s="20">
        <v>1171.99</v>
      </c>
      <c r="G102" s="20">
        <v>26030</v>
      </c>
      <c r="H102" s="20">
        <v>18696.91</v>
      </c>
      <c r="I102" s="20">
        <v>1063.01</v>
      </c>
      <c r="J102" s="21">
        <v>0</v>
      </c>
      <c r="K102" s="2">
        <f t="shared" si="20"/>
        <v>59630.909999999996</v>
      </c>
      <c r="L102" s="92">
        <f t="shared" si="21"/>
        <v>51921.76599</v>
      </c>
      <c r="M102" s="92">
        <f t="shared" si="21"/>
        <v>1113.5828999999999</v>
      </c>
      <c r="P102" s="2"/>
    </row>
    <row r="103" spans="1:17" x14ac:dyDescent="0.2">
      <c r="A103" s="93" t="s">
        <v>125</v>
      </c>
      <c r="B103" s="96">
        <v>7</v>
      </c>
      <c r="C103" s="119">
        <v>12309.85</v>
      </c>
      <c r="D103" s="120">
        <v>658.93</v>
      </c>
      <c r="E103" s="120">
        <v>0</v>
      </c>
      <c r="F103" s="120">
        <v>1319.7</v>
      </c>
      <c r="G103" s="120">
        <v>26377.61</v>
      </c>
      <c r="H103" s="120">
        <v>24686.91</v>
      </c>
      <c r="I103" s="120">
        <v>1032.96</v>
      </c>
      <c r="J103" s="21">
        <v>45173.37</v>
      </c>
      <c r="K103" s="2">
        <f t="shared" si="20"/>
        <v>111559.33000000002</v>
      </c>
      <c r="L103" s="92">
        <f t="shared" si="21"/>
        <v>64007.793899999997</v>
      </c>
      <c r="M103" s="92">
        <f t="shared" si="21"/>
        <v>1113.5828999999999</v>
      </c>
      <c r="P103" s="2"/>
    </row>
    <row r="104" spans="1:17" x14ac:dyDescent="0.2">
      <c r="A104" s="93" t="s">
        <v>126</v>
      </c>
      <c r="B104" s="96">
        <v>8</v>
      </c>
      <c r="C104" s="19">
        <v>12540.38</v>
      </c>
      <c r="D104" s="20">
        <v>0</v>
      </c>
      <c r="E104" s="20">
        <v>0</v>
      </c>
      <c r="F104" s="20">
        <v>1354.88</v>
      </c>
      <c r="G104" s="20">
        <v>0</v>
      </c>
      <c r="H104" s="20">
        <v>31020.84</v>
      </c>
      <c r="I104" s="20">
        <v>1052.3</v>
      </c>
      <c r="J104" s="121">
        <v>1347.49</v>
      </c>
      <c r="K104" s="2">
        <f t="shared" si="20"/>
        <v>47315.89</v>
      </c>
      <c r="L104" s="92">
        <f t="shared" si="21"/>
        <v>75981.45147</v>
      </c>
      <c r="M104" s="92">
        <f t="shared" si="21"/>
        <v>1716.6936499999999</v>
      </c>
      <c r="P104" s="2"/>
    </row>
    <row r="105" spans="1:17" x14ac:dyDescent="0.2">
      <c r="A105" s="93" t="s">
        <v>127</v>
      </c>
      <c r="B105" s="96">
        <v>9</v>
      </c>
      <c r="C105" s="19">
        <v>11779.87</v>
      </c>
      <c r="D105" s="20">
        <v>561.28</v>
      </c>
      <c r="E105" s="20">
        <v>0</v>
      </c>
      <c r="F105" s="20">
        <v>1467.28</v>
      </c>
      <c r="G105" s="20">
        <v>18908.490000000002</v>
      </c>
      <c r="H105" s="20">
        <v>15178.65</v>
      </c>
      <c r="I105" s="20">
        <v>416.84</v>
      </c>
      <c r="J105" s="21">
        <v>528.62</v>
      </c>
      <c r="K105" s="2">
        <f t="shared" si="20"/>
        <v>48841.030000000006</v>
      </c>
      <c r="L105" s="92">
        <f t="shared" si="21"/>
        <v>87124.031640000001</v>
      </c>
      <c r="M105" s="92">
        <f t="shared" si="21"/>
        <v>1720.0823799999998</v>
      </c>
      <c r="P105" s="2"/>
    </row>
    <row r="106" spans="1:17" x14ac:dyDescent="0.2">
      <c r="A106" s="93" t="s">
        <v>128</v>
      </c>
      <c r="B106" s="96">
        <v>10</v>
      </c>
      <c r="C106" s="19">
        <v>11159.49</v>
      </c>
      <c r="D106" s="20">
        <v>260.61</v>
      </c>
      <c r="E106" s="20">
        <v>0</v>
      </c>
      <c r="F106" s="20">
        <v>1201.3900000000001</v>
      </c>
      <c r="G106" s="20">
        <v>7180.27</v>
      </c>
      <c r="H106" s="20">
        <v>24347.51</v>
      </c>
      <c r="I106" s="20">
        <v>870.98</v>
      </c>
      <c r="J106" s="21">
        <v>542.14</v>
      </c>
      <c r="K106" s="2">
        <f t="shared" si="20"/>
        <v>45562.390000000007</v>
      </c>
      <c r="L106" s="92">
        <f t="shared" si="21"/>
        <v>98052.233160000003</v>
      </c>
      <c r="M106" s="92">
        <f t="shared" si="21"/>
        <v>3477.1265199999998</v>
      </c>
      <c r="P106" s="2"/>
    </row>
    <row r="107" spans="1:17" x14ac:dyDescent="0.2">
      <c r="A107" s="93" t="s">
        <v>129</v>
      </c>
      <c r="B107" s="96">
        <v>11</v>
      </c>
      <c r="C107" s="19">
        <v>13253.02</v>
      </c>
      <c r="D107" s="20">
        <v>185.13</v>
      </c>
      <c r="E107" s="20">
        <v>0</v>
      </c>
      <c r="F107" s="20">
        <v>1114.1099999999999</v>
      </c>
      <c r="G107" s="20">
        <v>1481.42</v>
      </c>
      <c r="H107" s="20">
        <v>31312.22</v>
      </c>
      <c r="I107" s="20">
        <v>1034.3800000000001</v>
      </c>
      <c r="J107" s="21">
        <v>423.88</v>
      </c>
      <c r="K107" s="2">
        <f t="shared" si="20"/>
        <v>48804.159999999996</v>
      </c>
      <c r="L107" s="92">
        <f t="shared" si="21"/>
        <v>109129.31748</v>
      </c>
      <c r="M107" s="92">
        <f t="shared" si="21"/>
        <v>3827.3336300000001</v>
      </c>
      <c r="P107" s="2"/>
    </row>
    <row r="108" spans="1:17" ht="13.5" thickBot="1" x14ac:dyDescent="0.25">
      <c r="A108" s="93" t="s">
        <v>130</v>
      </c>
      <c r="B108" s="96">
        <v>12</v>
      </c>
      <c r="C108" s="110">
        <v>14623.78</v>
      </c>
      <c r="D108" s="111">
        <v>1292.76</v>
      </c>
      <c r="E108" s="111">
        <v>0</v>
      </c>
      <c r="F108" s="111">
        <v>990.39</v>
      </c>
      <c r="G108" s="111">
        <v>25525.86</v>
      </c>
      <c r="H108" s="111">
        <v>25456.54</v>
      </c>
      <c r="I108" s="111">
        <v>1141.3699999999999</v>
      </c>
      <c r="J108" s="21">
        <v>0</v>
      </c>
      <c r="K108" s="2">
        <f t="shared" si="20"/>
        <v>69030.7</v>
      </c>
      <c r="L108" s="92">
        <f t="shared" si="21"/>
        <v>121227.73813</v>
      </c>
      <c r="M108" s="92">
        <f t="shared" si="21"/>
        <v>4087.70685</v>
      </c>
      <c r="P108" s="2"/>
    </row>
    <row r="109" spans="1:17" ht="13.5" thickBot="1" x14ac:dyDescent="0.25">
      <c r="A109" s="93" t="s">
        <v>131</v>
      </c>
      <c r="J109" s="112">
        <v>17010.599999999999</v>
      </c>
      <c r="K109" s="2">
        <f t="shared" si="20"/>
        <v>17010.599999999999</v>
      </c>
      <c r="L109" s="92">
        <f t="shared" si="21"/>
        <v>135265.26153999998</v>
      </c>
      <c r="M109" s="92">
        <f t="shared" si="21"/>
        <v>7670.6489299999994</v>
      </c>
      <c r="P109" s="2"/>
    </row>
    <row r="110" spans="1:17" x14ac:dyDescent="0.2">
      <c r="P110" s="2"/>
    </row>
    <row r="111" spans="1:17" x14ac:dyDescent="0.2">
      <c r="B111" s="94"/>
      <c r="C111" s="9" t="s">
        <v>19</v>
      </c>
      <c r="D111" s="10" t="s">
        <v>20</v>
      </c>
      <c r="E111" s="10" t="s">
        <v>20</v>
      </c>
      <c r="F111" s="11" t="s">
        <v>21</v>
      </c>
      <c r="G111" s="11" t="s">
        <v>22</v>
      </c>
      <c r="H111" s="11" t="s">
        <v>23</v>
      </c>
      <c r="I111" s="9" t="s">
        <v>19</v>
      </c>
      <c r="P111" s="2"/>
    </row>
    <row r="112" spans="1:17" ht="13.5" thickBot="1" x14ac:dyDescent="0.25">
      <c r="A112" s="89"/>
      <c r="B112" s="95"/>
      <c r="C112" s="12" t="s">
        <v>26</v>
      </c>
      <c r="D112" s="12" t="s">
        <v>27</v>
      </c>
      <c r="E112" s="13" t="s">
        <v>28</v>
      </c>
      <c r="F112" s="12" t="s">
        <v>29</v>
      </c>
      <c r="G112" s="12" t="s">
        <v>30</v>
      </c>
      <c r="H112" s="12" t="s">
        <v>31</v>
      </c>
      <c r="I112" s="13" t="s">
        <v>32</v>
      </c>
      <c r="J112" s="11" t="s">
        <v>24</v>
      </c>
      <c r="P112" s="2"/>
    </row>
    <row r="113" spans="1:16" ht="13.5" thickBot="1" x14ac:dyDescent="0.25">
      <c r="A113" s="90" t="s">
        <v>0</v>
      </c>
      <c r="B113" s="95"/>
      <c r="C113" s="14" t="s">
        <v>35</v>
      </c>
      <c r="D113" s="15" t="s">
        <v>36</v>
      </c>
      <c r="E113" s="16" t="s">
        <v>37</v>
      </c>
      <c r="F113" s="16" t="s">
        <v>38</v>
      </c>
      <c r="G113" s="15" t="s">
        <v>39</v>
      </c>
      <c r="H113" s="15" t="s">
        <v>6</v>
      </c>
      <c r="I113" s="16" t="s">
        <v>40</v>
      </c>
      <c r="J113" s="13" t="s">
        <v>33</v>
      </c>
      <c r="K113" s="1"/>
      <c r="L113" s="1" t="s">
        <v>2</v>
      </c>
      <c r="M113" s="1" t="s">
        <v>4</v>
      </c>
      <c r="P113" s="2"/>
    </row>
    <row r="114" spans="1:16" ht="26.25" thickBot="1" x14ac:dyDescent="0.25">
      <c r="A114" s="90" t="s">
        <v>1</v>
      </c>
      <c r="B114" s="95"/>
      <c r="C114" s="116">
        <f>L115*L146</f>
        <v>117523.92344497607</v>
      </c>
      <c r="D114" s="116">
        <f t="shared" ref="D114:D126" si="22">M115-E114</f>
        <v>1762.571350910574</v>
      </c>
      <c r="E114" s="116">
        <f>M115*M146</f>
        <v>3737.428649089426</v>
      </c>
      <c r="F114" s="116">
        <v>11000</v>
      </c>
      <c r="G114" s="116">
        <v>122000</v>
      </c>
      <c r="H114" s="116">
        <v>254164</v>
      </c>
      <c r="I114" s="116">
        <f t="shared" ref="I114:I126" si="23">L115-C114</f>
        <v>7476.0765550239303</v>
      </c>
      <c r="J114" s="17" t="s">
        <v>41</v>
      </c>
      <c r="K114" s="1"/>
      <c r="L114" s="1" t="s">
        <v>3</v>
      </c>
      <c r="M114" s="1" t="s">
        <v>5</v>
      </c>
    </row>
    <row r="115" spans="1:16" x14ac:dyDescent="0.2">
      <c r="A115" s="91" t="s">
        <v>7</v>
      </c>
      <c r="B115" s="96">
        <v>1</v>
      </c>
      <c r="C115" s="92">
        <f>L116*$L$146</f>
        <v>12051978.707799042</v>
      </c>
      <c r="D115" s="116">
        <f t="shared" si="22"/>
        <v>205467.40328350099</v>
      </c>
      <c r="E115" s="92">
        <f>M116*$M$146</f>
        <v>435681.51671649906</v>
      </c>
      <c r="F115" s="2">
        <v>988408.9</v>
      </c>
      <c r="G115" s="2">
        <v>4639121.74</v>
      </c>
      <c r="H115" s="2">
        <v>21499945.640000001</v>
      </c>
      <c r="I115" s="116">
        <f t="shared" si="23"/>
        <v>766665.31220095791</v>
      </c>
      <c r="J115" s="116">
        <v>65000</v>
      </c>
      <c r="L115" s="117">
        <v>125000</v>
      </c>
      <c r="M115" s="117">
        <v>5500</v>
      </c>
    </row>
    <row r="116" spans="1:16" x14ac:dyDescent="0.2">
      <c r="A116" s="93" t="s">
        <v>107</v>
      </c>
      <c r="B116" s="96">
        <v>2</v>
      </c>
      <c r="C116" s="92">
        <f t="shared" ref="C116:C126" si="24">L117*$L$146</f>
        <v>22554505.978636362</v>
      </c>
      <c r="D116" s="116">
        <f t="shared" si="22"/>
        <v>269929.19783908676</v>
      </c>
      <c r="E116" s="92">
        <f t="shared" ref="E116:E126" si="25">M117*$M$146</f>
        <v>572368.95216091326</v>
      </c>
      <c r="F116" s="2">
        <v>2511665.1800000002</v>
      </c>
      <c r="G116" s="2">
        <v>5676787.0700000003</v>
      </c>
      <c r="H116" s="2">
        <v>51104238.060000002</v>
      </c>
      <c r="I116" s="116">
        <f t="shared" si="23"/>
        <v>1434765.0113636367</v>
      </c>
      <c r="J116" s="2">
        <v>3273813.05</v>
      </c>
      <c r="L116" s="2">
        <v>12818644.02</v>
      </c>
      <c r="M116" s="2">
        <v>641148.92000000004</v>
      </c>
    </row>
    <row r="117" spans="1:16" x14ac:dyDescent="0.2">
      <c r="A117" s="93" t="s">
        <v>108</v>
      </c>
      <c r="B117" s="96">
        <v>3</v>
      </c>
      <c r="C117" s="92">
        <f t="shared" si="24"/>
        <v>31646990.787129186</v>
      </c>
      <c r="D117" s="116">
        <f t="shared" si="22"/>
        <v>356695.45796412078</v>
      </c>
      <c r="E117" s="92">
        <f t="shared" si="25"/>
        <v>756351.69203587912</v>
      </c>
      <c r="F117" s="2">
        <v>3292817.51</v>
      </c>
      <c r="G117" s="2">
        <v>28152663.329999998</v>
      </c>
      <c r="H117" s="2">
        <v>60594374.359999999</v>
      </c>
      <c r="I117" s="116">
        <f t="shared" si="23"/>
        <v>2013167.3528708145</v>
      </c>
      <c r="J117" s="2">
        <v>3400839.52</v>
      </c>
      <c r="L117" s="2">
        <v>23989270.989999998</v>
      </c>
      <c r="M117" s="2">
        <v>842298.15</v>
      </c>
    </row>
    <row r="118" spans="1:16" x14ac:dyDescent="0.2">
      <c r="A118" s="93" t="s">
        <v>109</v>
      </c>
      <c r="B118" s="96">
        <v>4</v>
      </c>
      <c r="C118" s="92">
        <f t="shared" si="24"/>
        <v>39736217.467248805</v>
      </c>
      <c r="D118" s="116">
        <f t="shared" si="22"/>
        <v>356867.14843707532</v>
      </c>
      <c r="E118" s="92">
        <f t="shared" si="25"/>
        <v>756715.75156292459</v>
      </c>
      <c r="F118" s="2">
        <v>4248930.57</v>
      </c>
      <c r="G118" s="2">
        <v>35812165.560000002</v>
      </c>
      <c r="H118" s="2">
        <v>78464103.879999995</v>
      </c>
      <c r="I118" s="116">
        <f t="shared" si="23"/>
        <v>2527749.2027511969</v>
      </c>
      <c r="J118" s="2">
        <v>4489768.74</v>
      </c>
      <c r="L118" s="2">
        <v>33660158.140000001</v>
      </c>
      <c r="M118" s="2">
        <v>1113047.1499999999</v>
      </c>
    </row>
    <row r="119" spans="1:16" x14ac:dyDescent="0.2">
      <c r="A119" s="93" t="s">
        <v>110</v>
      </c>
      <c r="B119" s="96">
        <v>5</v>
      </c>
      <c r="C119" s="92">
        <f t="shared" si="24"/>
        <v>48816397.210693777</v>
      </c>
      <c r="D119" s="116">
        <f t="shared" si="22"/>
        <v>356867.14843707532</v>
      </c>
      <c r="E119" s="92">
        <f t="shared" si="25"/>
        <v>756715.75156292459</v>
      </c>
      <c r="F119" s="2">
        <v>5143441.8499999996</v>
      </c>
      <c r="G119" s="2">
        <v>36073204.219999999</v>
      </c>
      <c r="H119" s="2">
        <v>103695246.64</v>
      </c>
      <c r="I119" s="116">
        <f t="shared" si="23"/>
        <v>3105368.7793062255</v>
      </c>
      <c r="J119" s="2">
        <v>4927425.37</v>
      </c>
      <c r="L119" s="2">
        <v>42263966.670000002</v>
      </c>
      <c r="M119" s="2">
        <v>1113582.8999999999</v>
      </c>
    </row>
    <row r="120" spans="1:16" x14ac:dyDescent="0.2">
      <c r="A120" s="93" t="s">
        <v>111</v>
      </c>
      <c r="B120" s="96">
        <v>6</v>
      </c>
      <c r="C120" s="92">
        <f t="shared" si="24"/>
        <v>60179576.561483249</v>
      </c>
      <c r="D120" s="116">
        <f t="shared" si="22"/>
        <v>356867.14843707532</v>
      </c>
      <c r="E120" s="92">
        <f t="shared" si="25"/>
        <v>756715.75156292459</v>
      </c>
      <c r="F120" s="2">
        <v>6229194.1799999997</v>
      </c>
      <c r="G120" s="2">
        <v>60034273.280000001</v>
      </c>
      <c r="H120" s="2">
        <v>121527202.84</v>
      </c>
      <c r="I120" s="116">
        <f t="shared" si="23"/>
        <v>3828217.3385167494</v>
      </c>
      <c r="J120" s="2">
        <v>5317637.1399999997</v>
      </c>
      <c r="L120" s="2">
        <v>51921765.990000002</v>
      </c>
      <c r="M120" s="2">
        <v>1113582.8999999999</v>
      </c>
    </row>
    <row r="121" spans="1:16" x14ac:dyDescent="0.2">
      <c r="A121" s="93" t="s">
        <v>112</v>
      </c>
      <c r="B121" s="96">
        <v>7</v>
      </c>
      <c r="C121" s="92">
        <f t="shared" si="24"/>
        <v>71437106.286387563</v>
      </c>
      <c r="D121" s="116">
        <f t="shared" si="22"/>
        <v>550144.55377820064</v>
      </c>
      <c r="E121" s="92">
        <f t="shared" si="25"/>
        <v>1166549.0962217993</v>
      </c>
      <c r="F121" s="2">
        <v>7596784.3099999996</v>
      </c>
      <c r="G121" s="2">
        <v>87496798.319999993</v>
      </c>
      <c r="H121" s="2">
        <v>141074441.77000001</v>
      </c>
      <c r="I121" s="116">
        <f t="shared" si="23"/>
        <v>4544345.1836124361</v>
      </c>
      <c r="J121" s="2">
        <v>47977817.799999997</v>
      </c>
      <c r="L121" s="2">
        <v>64007793.899999999</v>
      </c>
      <c r="M121" s="2">
        <v>1113582.8999999999</v>
      </c>
    </row>
    <row r="122" spans="1:16" x14ac:dyDescent="0.2">
      <c r="A122" s="93" t="s">
        <v>113</v>
      </c>
      <c r="B122" s="96">
        <v>8</v>
      </c>
      <c r="C122" s="92">
        <f t="shared" si="24"/>
        <v>81913264.197416261</v>
      </c>
      <c r="D122" s="116">
        <f t="shared" si="22"/>
        <v>551230.53167165001</v>
      </c>
      <c r="E122" s="92">
        <f t="shared" si="25"/>
        <v>1168851.8483283499</v>
      </c>
      <c r="F122" s="2">
        <v>8925281.2899999991</v>
      </c>
      <c r="G122" s="2">
        <v>87496798.319999993</v>
      </c>
      <c r="H122" s="2">
        <v>170271367.41999999</v>
      </c>
      <c r="I122" s="116">
        <f t="shared" si="23"/>
        <v>5210767.4425837398</v>
      </c>
      <c r="J122" s="2">
        <v>51139510.909999996</v>
      </c>
      <c r="L122" s="2">
        <v>75981451.469999999</v>
      </c>
      <c r="M122" s="2">
        <v>1716693.65</v>
      </c>
    </row>
    <row r="123" spans="1:16" x14ac:dyDescent="0.2">
      <c r="A123" s="93" t="s">
        <v>114</v>
      </c>
      <c r="B123" s="96">
        <v>9</v>
      </c>
      <c r="C123" s="92">
        <f t="shared" si="24"/>
        <v>92187865.148038268</v>
      </c>
      <c r="D123" s="116">
        <f t="shared" si="22"/>
        <v>1114306.1068442515</v>
      </c>
      <c r="E123" s="92">
        <f t="shared" si="25"/>
        <v>2362820.4131557485</v>
      </c>
      <c r="F123" s="2">
        <v>10378558.99</v>
      </c>
      <c r="G123" s="2">
        <v>107824463.52</v>
      </c>
      <c r="H123" s="2">
        <v>184136047.30000001</v>
      </c>
      <c r="I123" s="116">
        <f t="shared" si="23"/>
        <v>5864368.0119617283</v>
      </c>
      <c r="J123" s="2">
        <v>51832662.210000001</v>
      </c>
      <c r="L123" s="2">
        <v>87124031.640000001</v>
      </c>
      <c r="M123" s="2">
        <v>1720082.38</v>
      </c>
    </row>
    <row r="124" spans="1:16" x14ac:dyDescent="0.2">
      <c r="A124" s="93" t="s">
        <v>115</v>
      </c>
      <c r="B124" s="96">
        <v>10</v>
      </c>
      <c r="C124" s="92">
        <f t="shared" si="24"/>
        <v>102602444.42497608</v>
      </c>
      <c r="D124" s="116">
        <f t="shared" si="22"/>
        <v>1226536.1102935583</v>
      </c>
      <c r="E124" s="92">
        <f t="shared" si="25"/>
        <v>2600797.5197064416</v>
      </c>
      <c r="F124" s="2">
        <v>11565543.82</v>
      </c>
      <c r="G124" s="2">
        <v>114852934.98</v>
      </c>
      <c r="H124" s="2">
        <v>205726088.44999999</v>
      </c>
      <c r="I124" s="116">
        <f t="shared" si="23"/>
        <v>6526873.0550239235</v>
      </c>
      <c r="J124" s="2">
        <v>52263944.600000001</v>
      </c>
      <c r="L124" s="2">
        <v>98052233.159999996</v>
      </c>
      <c r="M124" s="2">
        <v>3477126.52</v>
      </c>
    </row>
    <row r="125" spans="1:16" x14ac:dyDescent="0.2">
      <c r="A125" s="93" t="s">
        <v>116</v>
      </c>
      <c r="B125" s="96">
        <v>11</v>
      </c>
      <c r="C125" s="92">
        <f t="shared" si="24"/>
        <v>113977275.32318181</v>
      </c>
      <c r="D125" s="116">
        <f t="shared" si="22"/>
        <v>1309977.2699510739</v>
      </c>
      <c r="E125" s="92">
        <f t="shared" si="25"/>
        <v>2777729.5800489262</v>
      </c>
      <c r="F125" s="2">
        <v>12587909.09</v>
      </c>
      <c r="G125" s="2">
        <v>115738542.13</v>
      </c>
      <c r="H125" s="2">
        <v>234994891.22</v>
      </c>
      <c r="I125" s="116">
        <f t="shared" si="23"/>
        <v>7250462.8068181872</v>
      </c>
      <c r="J125" s="2">
        <v>52490901.289999999</v>
      </c>
      <c r="L125" s="2">
        <v>109129317.48</v>
      </c>
      <c r="M125" s="2">
        <v>3827333.63</v>
      </c>
    </row>
    <row r="126" spans="1:16" x14ac:dyDescent="0.2">
      <c r="A126" s="93" t="s">
        <v>117</v>
      </c>
      <c r="B126" s="96">
        <v>12</v>
      </c>
      <c r="C126" s="92">
        <f t="shared" si="24"/>
        <v>127175233.93593301</v>
      </c>
      <c r="D126" s="116">
        <f t="shared" si="22"/>
        <v>2458193.8267110633</v>
      </c>
      <c r="E126" s="92">
        <f t="shared" si="25"/>
        <v>5212455.1032889364</v>
      </c>
      <c r="F126" s="118">
        <v>13570169.75</v>
      </c>
      <c r="G126" s="118">
        <v>140225164.75</v>
      </c>
      <c r="H126" s="118">
        <v>257034122.72</v>
      </c>
      <c r="I126" s="116">
        <f t="shared" si="23"/>
        <v>8090027.6040669829</v>
      </c>
      <c r="J126" s="2">
        <v>52586783.140000001</v>
      </c>
      <c r="L126" s="2">
        <v>121227738.13</v>
      </c>
      <c r="M126" s="2">
        <v>4087706.85</v>
      </c>
    </row>
    <row r="127" spans="1:16" x14ac:dyDescent="0.2">
      <c r="A127" s="93" t="s">
        <v>118</v>
      </c>
      <c r="J127" s="118">
        <v>70281890.849999994</v>
      </c>
      <c r="L127" s="118">
        <v>135265261.53999999</v>
      </c>
      <c r="M127" s="118">
        <v>7670648.9299999997</v>
      </c>
    </row>
    <row r="129" spans="1:13" x14ac:dyDescent="0.2">
      <c r="B129" s="94"/>
      <c r="C129" s="9" t="s">
        <v>19</v>
      </c>
      <c r="D129" s="10" t="s">
        <v>20</v>
      </c>
      <c r="E129" s="10" t="s">
        <v>20</v>
      </c>
      <c r="F129" s="11" t="s">
        <v>21</v>
      </c>
      <c r="G129" s="11" t="s">
        <v>22</v>
      </c>
      <c r="H129" s="11" t="s">
        <v>23</v>
      </c>
      <c r="I129" s="9" t="s">
        <v>19</v>
      </c>
    </row>
    <row r="130" spans="1:13" ht="13.5" thickBot="1" x14ac:dyDescent="0.25">
      <c r="A130" s="89"/>
      <c r="B130" s="95"/>
      <c r="C130" s="12" t="s">
        <v>26</v>
      </c>
      <c r="D130" s="12" t="s">
        <v>27</v>
      </c>
      <c r="E130" s="13" t="s">
        <v>28</v>
      </c>
      <c r="F130" s="12" t="s">
        <v>29</v>
      </c>
      <c r="G130" s="12" t="s">
        <v>30</v>
      </c>
      <c r="H130" s="12" t="s">
        <v>31</v>
      </c>
      <c r="I130" s="13" t="s">
        <v>32</v>
      </c>
      <c r="J130" s="11" t="s">
        <v>24</v>
      </c>
    </row>
    <row r="131" spans="1:13" ht="13.5" thickBot="1" x14ac:dyDescent="0.25">
      <c r="A131" s="90" t="s">
        <v>0</v>
      </c>
      <c r="B131" s="95"/>
      <c r="C131" s="14" t="s">
        <v>35</v>
      </c>
      <c r="D131" s="15" t="s">
        <v>36</v>
      </c>
      <c r="E131" s="16" t="s">
        <v>37</v>
      </c>
      <c r="F131" s="16" t="s">
        <v>38</v>
      </c>
      <c r="G131" s="15" t="s">
        <v>39</v>
      </c>
      <c r="H131" s="15" t="s">
        <v>6</v>
      </c>
      <c r="I131" s="16" t="s">
        <v>40</v>
      </c>
      <c r="J131" s="13" t="s">
        <v>33</v>
      </c>
      <c r="K131" s="1"/>
      <c r="L131" s="1" t="s">
        <v>2</v>
      </c>
      <c r="M131" s="1" t="s">
        <v>4</v>
      </c>
    </row>
    <row r="132" spans="1:13" ht="26.25" thickBot="1" x14ac:dyDescent="0.25">
      <c r="A132" s="90" t="s">
        <v>1</v>
      </c>
      <c r="B132" s="95"/>
      <c r="C132" s="92">
        <v>111181.39234449761</v>
      </c>
      <c r="D132" s="92">
        <v>3636.3449306876864</v>
      </c>
      <c r="E132" s="92">
        <v>7710.6550693123127</v>
      </c>
      <c r="F132" s="92">
        <v>9797</v>
      </c>
      <c r="G132" s="92">
        <v>108260</v>
      </c>
      <c r="H132" s="92">
        <v>238920</v>
      </c>
      <c r="I132" s="92">
        <v>7072.6076555023919</v>
      </c>
      <c r="J132" s="17" t="s">
        <v>41</v>
      </c>
      <c r="K132" s="1"/>
      <c r="L132" s="1" t="s">
        <v>3</v>
      </c>
      <c r="M132" s="1" t="s">
        <v>5</v>
      </c>
    </row>
    <row r="133" spans="1:13" x14ac:dyDescent="0.2">
      <c r="A133" s="91" t="s">
        <v>7</v>
      </c>
      <c r="B133" s="96">
        <v>1</v>
      </c>
      <c r="C133" s="92">
        <v>11215.984641889952</v>
      </c>
      <c r="D133" s="92">
        <v>33.425553718401737</v>
      </c>
      <c r="E133" s="92">
        <v>70.876916281598255</v>
      </c>
      <c r="F133" s="92">
        <v>1149.86284</v>
      </c>
      <c r="G133" s="92">
        <v>3613.9687100000001</v>
      </c>
      <c r="H133" s="92">
        <v>19905.83527</v>
      </c>
      <c r="I133" s="92">
        <v>713.48502811004789</v>
      </c>
      <c r="J133" s="92">
        <v>63315</v>
      </c>
      <c r="L133" s="2">
        <v>118254</v>
      </c>
      <c r="M133" s="2">
        <v>11347</v>
      </c>
    </row>
    <row r="134" spans="1:13" x14ac:dyDescent="0.2">
      <c r="A134" s="93" t="s">
        <v>91</v>
      </c>
      <c r="B134" s="96">
        <v>2</v>
      </c>
      <c r="C134" s="92">
        <v>20708.300796387557</v>
      </c>
      <c r="D134" s="92">
        <v>33.438273074204943</v>
      </c>
      <c r="E134" s="92">
        <v>70.903886925795049</v>
      </c>
      <c r="F134" s="92">
        <v>2866.6093799999999</v>
      </c>
      <c r="G134" s="92">
        <v>4534.6850000000004</v>
      </c>
      <c r="H134" s="92">
        <v>49327.307179999996</v>
      </c>
      <c r="I134" s="92">
        <v>1317.32193361244</v>
      </c>
      <c r="J134" s="92">
        <v>2854.4364300000002</v>
      </c>
      <c r="L134" s="2">
        <v>11929.46967</v>
      </c>
      <c r="M134" s="2">
        <v>104.30247</v>
      </c>
    </row>
    <row r="135" spans="1:13" x14ac:dyDescent="0.2">
      <c r="A135" s="93" t="s">
        <v>93</v>
      </c>
      <c r="B135" s="96">
        <v>3</v>
      </c>
      <c r="C135" s="92">
        <v>28726.606536674637</v>
      </c>
      <c r="D135" s="92">
        <v>133.81256145419951</v>
      </c>
      <c r="E135" s="92">
        <v>283.74164854580044</v>
      </c>
      <c r="F135" s="92">
        <v>3580.2168900000001</v>
      </c>
      <c r="G135" s="92">
        <v>4994.9693399999996</v>
      </c>
      <c r="H135" s="92">
        <v>69268.376250000001</v>
      </c>
      <c r="I135" s="92">
        <v>1827.3922733253587</v>
      </c>
      <c r="J135" s="92">
        <v>3129.5311200000001</v>
      </c>
      <c r="L135" s="2">
        <v>22025.622729999999</v>
      </c>
      <c r="M135" s="2">
        <v>104.34216000000001</v>
      </c>
    </row>
    <row r="136" spans="1:13" x14ac:dyDescent="0.2">
      <c r="A136" s="93" t="s">
        <v>92</v>
      </c>
      <c r="B136" s="96">
        <v>4</v>
      </c>
      <c r="C136" s="92">
        <v>35667.107031602871</v>
      </c>
      <c r="D136" s="92">
        <v>135.41012728458819</v>
      </c>
      <c r="E136" s="92">
        <v>287.12919271541176</v>
      </c>
      <c r="F136" s="92">
        <v>4413.6235299999998</v>
      </c>
      <c r="G136" s="92">
        <v>31483.396410000001</v>
      </c>
      <c r="H136" s="92">
        <v>73838.123480000009</v>
      </c>
      <c r="I136" s="92">
        <v>2268.8999383971295</v>
      </c>
      <c r="J136" s="92">
        <v>3527.5267000000003</v>
      </c>
      <c r="L136" s="2">
        <v>30553.998809999997</v>
      </c>
      <c r="M136" s="2">
        <v>417.55421000000001</v>
      </c>
    </row>
    <row r="137" spans="1:13" x14ac:dyDescent="0.2">
      <c r="A137" s="93" t="s">
        <v>94</v>
      </c>
      <c r="B137" s="96">
        <v>5</v>
      </c>
      <c r="C137" s="92">
        <v>43792.06124770335</v>
      </c>
      <c r="D137" s="92">
        <v>141.4939948165262</v>
      </c>
      <c r="E137" s="92">
        <v>300.02967518347373</v>
      </c>
      <c r="F137" s="92">
        <v>5350.1628899999996</v>
      </c>
      <c r="G137" s="92">
        <v>31674.034480000002</v>
      </c>
      <c r="H137" s="92">
        <v>100738.62711</v>
      </c>
      <c r="I137" s="92">
        <v>2785.7545322966512</v>
      </c>
      <c r="J137" s="92">
        <v>3589.3786099999998</v>
      </c>
      <c r="L137" s="2">
        <v>37936.006970000002</v>
      </c>
      <c r="M137" s="2">
        <v>422.53932000000003</v>
      </c>
    </row>
    <row r="138" spans="1:13" x14ac:dyDescent="0.2">
      <c r="A138" s="93" t="s">
        <v>95</v>
      </c>
      <c r="B138" s="96">
        <v>6</v>
      </c>
      <c r="C138" s="92">
        <v>53015.518843923441</v>
      </c>
      <c r="D138" s="92">
        <v>145.51701905952703</v>
      </c>
      <c r="E138" s="92">
        <v>308.56026094047292</v>
      </c>
      <c r="F138" s="92">
        <v>6361.4427999999998</v>
      </c>
      <c r="G138" s="92">
        <v>52110.401709999998</v>
      </c>
      <c r="H138" s="92">
        <v>114181.11426999999</v>
      </c>
      <c r="I138" s="92">
        <v>3372.4884760765549</v>
      </c>
      <c r="J138" s="92">
        <v>3589.3786099999998</v>
      </c>
      <c r="L138" s="2">
        <v>46577.815780000004</v>
      </c>
      <c r="M138" s="2">
        <v>441.52366999999998</v>
      </c>
    </row>
    <row r="139" spans="1:13" x14ac:dyDescent="0.2">
      <c r="A139" s="93" t="s">
        <v>96</v>
      </c>
      <c r="B139" s="96">
        <v>7</v>
      </c>
      <c r="C139" s="92">
        <v>62341.819763971289</v>
      </c>
      <c r="D139" s="92">
        <v>147.90196076379448</v>
      </c>
      <c r="E139" s="92">
        <v>313.61738923620544</v>
      </c>
      <c r="F139" s="92">
        <v>7728.4335099999998</v>
      </c>
      <c r="G139" s="92">
        <v>79461.628779999999</v>
      </c>
      <c r="H139" s="92">
        <v>132921.85193999999</v>
      </c>
      <c r="I139" s="92">
        <v>3965.7646160287081</v>
      </c>
      <c r="J139" s="92">
        <v>45986.692040000002</v>
      </c>
      <c r="L139" s="2">
        <v>56388.007319999997</v>
      </c>
      <c r="M139" s="2">
        <v>454.07728000000003</v>
      </c>
    </row>
    <row r="140" spans="1:13" x14ac:dyDescent="0.2">
      <c r="A140" s="93" t="s">
        <v>97</v>
      </c>
      <c r="B140" s="96">
        <v>8</v>
      </c>
      <c r="C140" s="92">
        <v>71294.778205550232</v>
      </c>
      <c r="D140" s="92">
        <v>163.30901354987768</v>
      </c>
      <c r="E140" s="92">
        <v>346.28713645012232</v>
      </c>
      <c r="F140" s="92">
        <v>9005.0165699999998</v>
      </c>
      <c r="G140" s="92">
        <v>79461.628779999999</v>
      </c>
      <c r="H140" s="92">
        <v>163087.16026</v>
      </c>
      <c r="I140" s="92">
        <v>4535.2912344497599</v>
      </c>
      <c r="J140" s="92">
        <v>47415.66388</v>
      </c>
      <c r="L140" s="2">
        <v>66307.58438</v>
      </c>
      <c r="M140" s="2">
        <v>461.51934999999997</v>
      </c>
    </row>
    <row r="141" spans="1:13" x14ac:dyDescent="0.2">
      <c r="A141" s="93" t="s">
        <v>98</v>
      </c>
      <c r="B141" s="96">
        <v>9</v>
      </c>
      <c r="C141" s="92">
        <v>80379.786452296641</v>
      </c>
      <c r="D141" s="92">
        <v>454.56535678173407</v>
      </c>
      <c r="E141" s="92">
        <v>963.87904321826568</v>
      </c>
      <c r="F141" s="92">
        <v>10282.229640000001</v>
      </c>
      <c r="G141" s="92">
        <v>97137.403919999997</v>
      </c>
      <c r="H141" s="92">
        <v>179638.74543000001</v>
      </c>
      <c r="I141" s="92">
        <v>5113.2179677033491</v>
      </c>
      <c r="J141" s="92">
        <v>48166.706399999995</v>
      </c>
      <c r="L141" s="2">
        <v>75830.069439999992</v>
      </c>
      <c r="M141" s="2">
        <v>509.59615000000002</v>
      </c>
    </row>
    <row r="142" spans="1:13" x14ac:dyDescent="0.2">
      <c r="A142" s="93" t="s">
        <v>99</v>
      </c>
      <c r="B142" s="96">
        <v>10</v>
      </c>
      <c r="C142" s="92">
        <v>89989.092482727254</v>
      </c>
      <c r="D142" s="92">
        <v>651.73275068496866</v>
      </c>
      <c r="E142" s="92">
        <v>1381.9608793150312</v>
      </c>
      <c r="F142" s="92">
        <v>11356.72783</v>
      </c>
      <c r="G142" s="92">
        <v>101886.26969</v>
      </c>
      <c r="H142" s="92">
        <v>195506.26293999999</v>
      </c>
      <c r="I142" s="92">
        <v>5724.4969772727263</v>
      </c>
      <c r="J142" s="92">
        <v>48533.171479999997</v>
      </c>
      <c r="L142" s="2">
        <v>85493.004419999997</v>
      </c>
      <c r="M142" s="2">
        <v>1418.4443999999999</v>
      </c>
    </row>
    <row r="143" spans="1:13" x14ac:dyDescent="0.2">
      <c r="A143" s="93" t="s">
        <v>100</v>
      </c>
      <c r="B143" s="96">
        <v>11</v>
      </c>
      <c r="C143" s="92">
        <v>99327.05039389951</v>
      </c>
      <c r="D143" s="92">
        <v>672.23880381625429</v>
      </c>
      <c r="E143" s="92">
        <v>1425.4427561837454</v>
      </c>
      <c r="F143" s="92">
        <v>12389.859400000001</v>
      </c>
      <c r="G143" s="92">
        <v>102562.80807</v>
      </c>
      <c r="H143" s="92">
        <v>226375.84711999999</v>
      </c>
      <c r="I143" s="92">
        <v>6318.5146561004776</v>
      </c>
      <c r="J143" s="92">
        <v>48898.260849999999</v>
      </c>
      <c r="L143" s="2">
        <v>95713.589459999988</v>
      </c>
      <c r="M143" s="2">
        <v>2033.69363</v>
      </c>
    </row>
    <row r="144" spans="1:13" x14ac:dyDescent="0.2">
      <c r="A144" s="93" t="s">
        <v>101</v>
      </c>
      <c r="B144" s="96">
        <v>12</v>
      </c>
      <c r="C144" s="92">
        <v>111561.12631923445</v>
      </c>
      <c r="D144" s="92">
        <v>1660.5791213753735</v>
      </c>
      <c r="E144" s="92">
        <v>3521.1601386246252</v>
      </c>
      <c r="F144" s="92">
        <v>13403.01981</v>
      </c>
      <c r="G144" s="92">
        <v>124399.66617</v>
      </c>
      <c r="H144" s="92">
        <v>247392.75559000002</v>
      </c>
      <c r="I144" s="92">
        <v>7096.7637607655497</v>
      </c>
      <c r="J144" s="92">
        <v>49061.002469999999</v>
      </c>
      <c r="L144" s="2">
        <v>105645.56504999999</v>
      </c>
      <c r="M144" s="2">
        <v>2097.68156</v>
      </c>
    </row>
    <row r="145" spans="1:13" x14ac:dyDescent="0.2">
      <c r="A145" s="93" t="s">
        <v>102</v>
      </c>
      <c r="J145" s="92">
        <v>65289.019869999996</v>
      </c>
      <c r="L145" s="2">
        <v>118657.89008</v>
      </c>
      <c r="M145" s="2">
        <v>5181.7392599999994</v>
      </c>
    </row>
    <row r="146" spans="1:13" x14ac:dyDescent="0.2">
      <c r="L146" s="2">
        <f>C132/L133</f>
        <v>0.94019138755980858</v>
      </c>
      <c r="M146" s="2">
        <f>E132/M133</f>
        <v>0.67953248165262292</v>
      </c>
    </row>
  </sheetData>
  <printOptions horizontalCentered="1"/>
  <pageMargins left="0" right="0" top="0" bottom="0" header="0" footer="0"/>
  <pageSetup paperSize="9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RUD CV 2020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2016-02-08T16:26:18Z</dcterms:created>
  <dcterms:modified xsi:type="dcterms:W3CDTF">2021-02-03T07:05:07Z</dcterms:modified>
</cp:coreProperties>
</file>